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2014" sheetId="1" r:id="rId1"/>
    <sheet name="2015" sheetId="2" r:id="rId2"/>
    <sheet name="2016" sheetId="3" r:id="rId3"/>
    <sheet name="2017" sheetId="4" r:id="rId4"/>
  </sheets>
  <definedNames/>
  <calcPr fullCalcOnLoad="1"/>
</workbook>
</file>

<file path=xl/sharedStrings.xml><?xml version="1.0" encoding="utf-8"?>
<sst xmlns="http://schemas.openxmlformats.org/spreadsheetml/2006/main" count="718" uniqueCount="140">
  <si>
    <t>Наименование</t>
  </si>
  <si>
    <t>Аттракционы</t>
  </si>
  <si>
    <t>«Автодром»</t>
  </si>
  <si>
    <t>80-00</t>
  </si>
  <si>
    <t>Карусель «Колибри»</t>
  </si>
  <si>
    <t>35-00</t>
  </si>
  <si>
    <t>«Орбита»</t>
  </si>
  <si>
    <t>60-00</t>
  </si>
  <si>
    <t>«Сладкоежка»</t>
  </si>
  <si>
    <t>«Колокольчик»</t>
  </si>
  <si>
    <t>40-00</t>
  </si>
  <si>
    <t>«Червячок»</t>
  </si>
  <si>
    <t>«Корабль»</t>
  </si>
  <si>
    <t>Водный бассейн с бамперными лодками</t>
  </si>
  <si>
    <t xml:space="preserve">«Мини-поезд» </t>
  </si>
  <si>
    <t>Надувные конструкции</t>
  </si>
  <si>
    <t>Батут «Ковбой»</t>
  </si>
  <si>
    <t>Батут «Кораблик»</t>
  </si>
  <si>
    <t>Батут «Джунгли»</t>
  </si>
  <si>
    <t>Батут «Русь»</t>
  </si>
  <si>
    <t>Игровые автоматы, приставки</t>
  </si>
  <si>
    <t>15-00</t>
  </si>
  <si>
    <t xml:space="preserve">Игровой автомат «Операция» </t>
  </si>
  <si>
    <t>10-00</t>
  </si>
  <si>
    <t>Игровой автомат «Мадонна»</t>
  </si>
  <si>
    <t>Игровой автомат «Кегли»</t>
  </si>
  <si>
    <t>Игровой автомат «Месть»</t>
  </si>
  <si>
    <t>Игровой автомат «Хоккей»</t>
  </si>
  <si>
    <t>50-00</t>
  </si>
  <si>
    <t>Игровой автомат «Автогонки»</t>
  </si>
  <si>
    <t>25-00</t>
  </si>
  <si>
    <t>Игровой автомат «Бокс»</t>
  </si>
  <si>
    <t>Аттракционы малых форм, качалки</t>
  </si>
  <si>
    <t>Веломобили «Вираж»</t>
  </si>
  <si>
    <t>Гонки трассовых автомоделей</t>
  </si>
  <si>
    <t>Качалка «Пони»</t>
  </si>
  <si>
    <t>Качалка «Жираф»</t>
  </si>
  <si>
    <t>Качалка «Крокодил»</t>
  </si>
  <si>
    <t>Качалка «Дельфин»</t>
  </si>
  <si>
    <t>Качалка «Веселые машинки»</t>
  </si>
  <si>
    <t>Качалка «Самолет»</t>
  </si>
  <si>
    <t>Качалка «Кораблик»</t>
  </si>
  <si>
    <t>Качалка «Джип»</t>
  </si>
  <si>
    <t>Качалка «Мотоцикл»</t>
  </si>
  <si>
    <t>Игровые, развлекательные зоны</t>
  </si>
  <si>
    <t>Мягкая игровая комната «Пчелка»</t>
  </si>
  <si>
    <t xml:space="preserve">Калькуляция на платные услуги  МБУ "Парк культуры и отдыха"  </t>
  </si>
  <si>
    <t xml:space="preserve">    Показатели, необходимые для расчета стоимости услуг:</t>
  </si>
  <si>
    <t>Принятая стоимость услуги, с учетом средник рыночных цен</t>
  </si>
  <si>
    <t>Коммунальные платежи</t>
  </si>
  <si>
    <t>Запчасти и прочие матзапасы</t>
  </si>
  <si>
    <t>Прочие расходы</t>
  </si>
  <si>
    <t>ИТОГО</t>
  </si>
  <si>
    <t>Стоимость ОС, руб.</t>
  </si>
  <si>
    <t>ИТОГО расходов на год, руб.</t>
  </si>
  <si>
    <t>Примерное кол-во посетителей  в год, чел.</t>
  </si>
  <si>
    <t>Примерная стоимость единицы услуги, руб.</t>
  </si>
  <si>
    <t>Затраты на услуги по  видам</t>
  </si>
  <si>
    <t>Зар. плата с отчисл-ениями</t>
  </si>
  <si>
    <t>Коммуна-льные платежи</t>
  </si>
  <si>
    <t>Доля в общей стоимости ОС</t>
  </si>
  <si>
    <t xml:space="preserve">Заработная плата с отчислениями </t>
  </si>
  <si>
    <t xml:space="preserve"> -- </t>
  </si>
  <si>
    <t xml:space="preserve">  --</t>
  </si>
  <si>
    <t>Бильярд (на 1 час)</t>
  </si>
  <si>
    <t>150-00</t>
  </si>
  <si>
    <t>Лодки надувные от 6000</t>
  </si>
  <si>
    <t>Лодки надувные от 4000 до 6000</t>
  </si>
  <si>
    <t>Палатки от 200 до 1000 руб.</t>
  </si>
  <si>
    <t>Палатки от 1000 до 3000 руб.</t>
  </si>
  <si>
    <t>Палатки от 3000 до 5000 руб.</t>
  </si>
  <si>
    <t>Палатки от 5000 до 7000 руб.</t>
  </si>
  <si>
    <t>Палатки от 7000 руб.</t>
  </si>
  <si>
    <t>ПРОКАТ (на сутки)</t>
  </si>
  <si>
    <t>Рюкзаки, комплект спорт. свыше 1000 руб.</t>
  </si>
  <si>
    <t>Рюкзаки, комплект спорт. от 300 до 1000 руб.</t>
  </si>
  <si>
    <t>Прочие предметы спорта до 300 руб.</t>
  </si>
  <si>
    <t>Прочие предметы спорта свыше 300 руб.</t>
  </si>
  <si>
    <t>Лыжи в компл. с палк. и бот. до 1000 руб.</t>
  </si>
  <si>
    <t xml:space="preserve">Лыжи в компл. с палк. и бот. от 1000 руб. до 1500 руб. </t>
  </si>
  <si>
    <t xml:space="preserve">Лыжи в компл. с палк. и бот. свыше 1500 руб. </t>
  </si>
  <si>
    <t>Лыжи стоимостью до 500 руб.</t>
  </si>
  <si>
    <t>Лыжи от 500 до 1000 руб.</t>
  </si>
  <si>
    <t>Лыжи свыше 1000 руб.</t>
  </si>
  <si>
    <t>Ботинки лыжные от 300 до 500 руб.</t>
  </si>
  <si>
    <t>Ботинки лыжные свыше 500 руб.</t>
  </si>
  <si>
    <t>Палки лыжные до 100 руб.</t>
  </si>
  <si>
    <t>Палки лыжные свыше 100 руб.</t>
  </si>
  <si>
    <t>Коньки с ботинками от 500 руб.</t>
  </si>
  <si>
    <t>Коньки с ботинками от 500 до 2000 руб.</t>
  </si>
  <si>
    <t>Коньки с ботинками свыше 2000 руб.</t>
  </si>
  <si>
    <t>200-00</t>
  </si>
  <si>
    <t>100-00</t>
  </si>
  <si>
    <t>120-00</t>
  </si>
  <si>
    <t>130-00</t>
  </si>
  <si>
    <t>5-00</t>
  </si>
  <si>
    <t>20-00</t>
  </si>
  <si>
    <t>30-00</t>
  </si>
  <si>
    <t>Пояснения по расчетам:</t>
  </si>
  <si>
    <t>Доля в общей стоимости определяется путем деления стоимости ОС на общую стоимость ОС в группе (аттракционы, бильярд, прокат).</t>
  </si>
  <si>
    <t>Сумма косвенных расходов на заработную плату с отчислениями определяется путем умножения всех расходов на заработную плату в группе на  долю в общей стоимости</t>
  </si>
  <si>
    <t>Сумма косвенных расходов на коммунальные платежи определяется путем умножения всех расходов на коммунальные платежи в группе на  долю в общей стоимости</t>
  </si>
  <si>
    <t>Сумма косвенных расходов на запчасти определяется путем умножения всех расходов на запчасти и матзапасы в группе на  долю в общей стоимости</t>
  </si>
  <si>
    <t>Сумма косвенных  прочих расходов определяется путем умножения всех прочих расходовв группе на  долю в общей стоимости</t>
  </si>
  <si>
    <t>Расчеты составил</t>
  </si>
  <si>
    <r>
      <t xml:space="preserve">       </t>
    </r>
    <r>
      <rPr>
        <b/>
        <sz val="11"/>
        <color indexed="8"/>
        <rFont val="Calibri"/>
        <family val="2"/>
      </rPr>
      <t xml:space="preserve">        Из них  аренда и возм.коммунальных услуг </t>
    </r>
    <r>
      <rPr>
        <b/>
        <u val="single"/>
        <sz val="11"/>
        <color indexed="8"/>
        <rFont val="Calibri"/>
        <family val="2"/>
      </rPr>
      <t>70000,00  руб.</t>
    </r>
  </si>
  <si>
    <t>Князева А.С.</t>
  </si>
  <si>
    <t>Прочие выплаты</t>
  </si>
  <si>
    <t>Содержа-ние имущества</t>
  </si>
  <si>
    <t>Прочие услуги</t>
  </si>
  <si>
    <t>Игровой автомат «Детский аэрохоккей»</t>
  </si>
  <si>
    <t>Игровой автомат «Футбол»</t>
  </si>
  <si>
    <t>Матрацы надувные от 500 до 1000 руб.</t>
  </si>
  <si>
    <t>Матрацы надувные от 1000 до 2000 руб.</t>
  </si>
  <si>
    <t>Матрацы надувные свыше 2000 руб.</t>
  </si>
  <si>
    <t>Ватрушки для катания с горы детская</t>
  </si>
  <si>
    <t>Ватрушки для катания с горы взрослая</t>
  </si>
  <si>
    <t>Ватрушки для катания с горы двойная</t>
  </si>
  <si>
    <t>по состоянию на 01.01.2016</t>
  </si>
  <si>
    <t xml:space="preserve">     В связи с невозможностью выделить прямые расходы на каждый вид оказываемых услуг, затраты распределяются косвенным методом. За базу распределения затрат на аттракционы взята стоимость ОС (при использовании ОС в группе - их средняя стоимость) по состоянию на 01.01.2016</t>
  </si>
  <si>
    <t>«Самоходные сани»</t>
  </si>
  <si>
    <t>Содержание имущества</t>
  </si>
  <si>
    <t>Расчет процентов распределения расходов ведется по оборотно-сальдовой ведомости за 2015 год. Бильярд составляет 438799,55 руб., прокат 40180 руб., аттракционы 4317980 руб., а общая сумма составляет 4796959,55.</t>
  </si>
  <si>
    <t>Распередение расходов производится следующим образом: прокат 1%, бильярд 9%, аттракционы 90%</t>
  </si>
  <si>
    <t>ИТОГО Расходов за счет приносящей доход деятельности согласно ПФХД:</t>
  </si>
  <si>
    <t>Итого без учета расходов с возм. комм. платежей арендаторами</t>
  </si>
  <si>
    <t>по состоянию на 01.01.2017</t>
  </si>
  <si>
    <t>Основные средства</t>
  </si>
  <si>
    <t xml:space="preserve">     В связи с невозможностью выделить прямые расходы на каждый вид оказываемых услуг, затраты распределяются косвенным методом. За базу распределения затрат на аттракционы взята стоимость ОС (при использовании ОС в группе - их средняя стоимость) по состоянию на 01.01.2017</t>
  </si>
  <si>
    <t>Расчет процентов распределения расходов ведется по оборотно-сальдовой ведомости за 2016 год. Бильярд составляет 456350 руб., прокат 45845 руб., аттракционы 4609890 руб., а общая сумма составляет 5112085 руб.</t>
  </si>
  <si>
    <t>по состоянию на 01.01.2015</t>
  </si>
  <si>
    <t xml:space="preserve">     В связи с невозможностью выделить прямые расходы на каждый вид оказываемых услуг, затраты распределяются косвенным методом. За базу распределения затрат на аттракционы взята стоимость ОС (при использовании ОС в группе - их средняя стоимость) по состоянию на 01.01.2015</t>
  </si>
  <si>
    <t>Расчет процентов распределения расходов ведется по оборотно-сальдовой ведомости за 2014 год. Бильярд составляет 295400 руб., прокат 44630 руб., аттракционы 3832270 руб., а общая сумма составляет 4172300 руб.</t>
  </si>
  <si>
    <t>Распередение расходов производится следующим образом: прокат 1%, бильярд 7%, аттракционы 92%</t>
  </si>
  <si>
    <t>90-00</t>
  </si>
  <si>
    <t>70-00</t>
  </si>
  <si>
    <t>по состоянию на 01.01.2014</t>
  </si>
  <si>
    <t xml:space="preserve">     В связи с невозможностью выделить прямые расходы на каждый вид оказываемых услуг, затраты распределяются косвенным методом. За базу распределения затрат на аттракционы взята стоимость ОС (при использовании ОС в группе - их средняя стоимость) по состоянию на 01.01.2014</t>
  </si>
  <si>
    <t>Расчет процентов распределения расходов ведется по оборотно-сальдовой ведомости за 2013 год. Бильярд составляет 250450 руб., прокат 67767 руб., аттракционы 42477650 руб., а общая сумма составляет 4565982 руб.</t>
  </si>
  <si>
    <t>Распередение расходов производится следующим образом: прокат 2%, бильярд 5%, аттракционы 93%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</si>
</sst>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9" fillId="0" borderId="0" xfId="0" applyFont="1" applyAlignment="1">
      <alignment wrapText="1"/>
    </xf>
    <xf numFmtId="4" fontId="29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zoomScalePageLayoutView="0" workbookViewId="0" topLeftCell="A1">
      <selection activeCell="H94" sqref="H94"/>
    </sheetView>
  </sheetViews>
  <sheetFormatPr defaultColWidth="9.140625" defaultRowHeight="15"/>
  <cols>
    <col min="1" max="1" width="4.28125" style="0" customWidth="1"/>
    <col min="2" max="2" width="42.140625" style="0" customWidth="1"/>
    <col min="3" max="3" width="13.140625" style="0" customWidth="1"/>
    <col min="4" max="4" width="14.00390625" style="0" customWidth="1"/>
    <col min="5" max="5" width="12.140625" style="0" customWidth="1"/>
    <col min="6" max="13" width="10.57421875" style="0" customWidth="1"/>
    <col min="14" max="14" width="12.7109375" style="0" customWidth="1"/>
    <col min="15" max="15" width="14.421875" style="0" customWidth="1"/>
    <col min="16" max="16" width="16.140625" style="0" customWidth="1"/>
  </cols>
  <sheetData>
    <row r="1" spans="2:19" ht="15">
      <c r="B1" s="38" t="s">
        <v>46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2:19" ht="15">
      <c r="B2" s="38" t="s">
        <v>136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20" ht="49.5" customHeight="1">
      <c r="A3" s="39" t="s">
        <v>137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2"/>
      <c r="R3" s="2"/>
      <c r="S3" s="2"/>
      <c r="T3" s="2"/>
    </row>
    <row r="4" ht="15">
      <c r="A4" t="s">
        <v>47</v>
      </c>
    </row>
    <row r="5" spans="2:7" ht="15">
      <c r="B5" s="40" t="s">
        <v>139</v>
      </c>
      <c r="C5" s="40"/>
      <c r="D5" s="40"/>
      <c r="E5" s="40"/>
      <c r="F5" s="40"/>
      <c r="G5" s="40"/>
    </row>
    <row r="6" spans="2:18" ht="15">
      <c r="B6" s="40" t="s">
        <v>138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8" spans="2:15" ht="15">
      <c r="B8" s="1" t="s">
        <v>124</v>
      </c>
      <c r="C8" s="1"/>
      <c r="D8" s="1"/>
      <c r="E8" s="17">
        <f>80382.36+4000000</f>
        <v>4080382.36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2:4" ht="15">
      <c r="B9" t="s">
        <v>105</v>
      </c>
      <c r="C9" s="17">
        <f>44935+43465</f>
        <v>88400</v>
      </c>
      <c r="D9" s="17"/>
    </row>
    <row r="10" spans="2:3" ht="15">
      <c r="B10" t="s">
        <v>61</v>
      </c>
      <c r="C10" s="20">
        <f>2300000+600348</f>
        <v>2900348</v>
      </c>
    </row>
    <row r="11" spans="2:3" ht="15">
      <c r="B11" t="s">
        <v>107</v>
      </c>
      <c r="C11" s="20">
        <v>1500</v>
      </c>
    </row>
    <row r="12" spans="2:3" ht="15">
      <c r="B12" t="s">
        <v>49</v>
      </c>
      <c r="C12" s="20">
        <v>227450</v>
      </c>
    </row>
    <row r="13" spans="2:5" ht="15">
      <c r="B13" t="s">
        <v>121</v>
      </c>
      <c r="C13" s="20">
        <v>378689</v>
      </c>
      <c r="E13" s="20"/>
    </row>
    <row r="14" spans="2:12" ht="15">
      <c r="B14" t="s">
        <v>50</v>
      </c>
      <c r="C14" s="20">
        <v>130000</v>
      </c>
      <c r="E14" s="16"/>
      <c r="F14" s="16"/>
      <c r="G14" s="16"/>
      <c r="H14" s="16"/>
      <c r="K14" s="16"/>
      <c r="L14" s="16"/>
    </row>
    <row r="15" spans="2:12" ht="15">
      <c r="B15" t="s">
        <v>109</v>
      </c>
      <c r="C15" s="20">
        <v>248326</v>
      </c>
      <c r="E15" s="16"/>
      <c r="F15" s="16"/>
      <c r="G15" s="16"/>
      <c r="H15" s="16"/>
      <c r="K15" s="16"/>
      <c r="L15" s="16"/>
    </row>
    <row r="16" spans="2:12" ht="15">
      <c r="B16" t="s">
        <v>51</v>
      </c>
      <c r="C16" s="20">
        <v>5000</v>
      </c>
      <c r="K16" s="16"/>
      <c r="L16" s="16"/>
    </row>
    <row r="17" spans="2:12" ht="15">
      <c r="B17" t="s">
        <v>127</v>
      </c>
      <c r="C17" s="20">
        <v>120939.36</v>
      </c>
      <c r="K17" s="16"/>
      <c r="L17" s="16"/>
    </row>
    <row r="18" spans="2:3" ht="30">
      <c r="B18" s="21" t="s">
        <v>125</v>
      </c>
      <c r="C18" s="22">
        <f>C10+C12+C13+C14+C15+C16+C11+C17</f>
        <v>4012252.36</v>
      </c>
    </row>
    <row r="19" spans="2:16" ht="39.75" customHeight="1">
      <c r="B19" s="41" t="s">
        <v>0</v>
      </c>
      <c r="C19" s="34" t="s">
        <v>53</v>
      </c>
      <c r="D19" s="34" t="s">
        <v>60</v>
      </c>
      <c r="E19" s="34" t="s">
        <v>57</v>
      </c>
      <c r="F19" s="34"/>
      <c r="G19" s="34"/>
      <c r="H19" s="34"/>
      <c r="I19" s="34"/>
      <c r="J19" s="34"/>
      <c r="K19" s="34"/>
      <c r="L19" s="34"/>
      <c r="M19" s="34"/>
      <c r="N19" s="34" t="s">
        <v>55</v>
      </c>
      <c r="O19" s="34" t="s">
        <v>56</v>
      </c>
      <c r="P19" s="34" t="s">
        <v>48</v>
      </c>
    </row>
    <row r="20" spans="2:16" ht="55.5" customHeight="1">
      <c r="B20" s="41"/>
      <c r="C20" s="34"/>
      <c r="D20" s="34"/>
      <c r="E20" s="27" t="s">
        <v>58</v>
      </c>
      <c r="F20" s="27" t="s">
        <v>107</v>
      </c>
      <c r="G20" s="27" t="s">
        <v>59</v>
      </c>
      <c r="H20" s="27" t="s">
        <v>108</v>
      </c>
      <c r="I20" s="27" t="s">
        <v>50</v>
      </c>
      <c r="J20" s="27" t="s">
        <v>109</v>
      </c>
      <c r="K20" s="27" t="s">
        <v>51</v>
      </c>
      <c r="L20" s="27" t="s">
        <v>127</v>
      </c>
      <c r="M20" s="27" t="s">
        <v>54</v>
      </c>
      <c r="N20" s="34"/>
      <c r="O20" s="34"/>
      <c r="P20" s="34"/>
    </row>
    <row r="21" spans="2:16" ht="15">
      <c r="B21" s="31" t="s">
        <v>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</row>
    <row r="22" spans="2:16" ht="15">
      <c r="B22" s="4" t="s">
        <v>2</v>
      </c>
      <c r="C22" s="23">
        <f>94823.84+142000*3+144500*3</f>
        <v>954323.84</v>
      </c>
      <c r="D22" s="5">
        <f>C22/C61</f>
        <v>0.08770138984253228</v>
      </c>
      <c r="E22" s="5">
        <f>D22*0.93*$C$10</f>
        <v>236559.03208311822</v>
      </c>
      <c r="F22" s="5">
        <f>$C$11*0.93*D22</f>
        <v>122.34343883033253</v>
      </c>
      <c r="G22" s="5">
        <f>$C$12*0.93*D22</f>
        <v>18551.34344130609</v>
      </c>
      <c r="H22" s="5">
        <f>$C$13*0.93*D22</f>
        <v>30886.7430048132</v>
      </c>
      <c r="I22" s="5">
        <f>$C$14*0.93*D22</f>
        <v>10603.098031962154</v>
      </c>
      <c r="J22" s="5">
        <f>$C$15*0.93*D22</f>
        <v>20254.037860654105</v>
      </c>
      <c r="K22" s="5">
        <f>$C$16*0.93*D22</f>
        <v>407.81146276777514</v>
      </c>
      <c r="L22" s="5">
        <f>$C$17*0.93*D22</f>
        <v>9864.09146155971</v>
      </c>
      <c r="M22" s="5">
        <f>K22+E22+F22+G22+H22+I22+J22+L22</f>
        <v>327248.5007850116</v>
      </c>
      <c r="N22" s="6">
        <v>3600</v>
      </c>
      <c r="O22" s="5">
        <f>M22/N22</f>
        <v>90.90236132916989</v>
      </c>
      <c r="P22" s="6" t="s">
        <v>134</v>
      </c>
    </row>
    <row r="23" spans="2:16" ht="15">
      <c r="B23" s="4" t="s">
        <v>4</v>
      </c>
      <c r="C23" s="23">
        <v>167890</v>
      </c>
      <c r="D23" s="5">
        <f>C23/C61</f>
        <v>0.015428920166830104</v>
      </c>
      <c r="E23" s="5">
        <f aca="true" t="shared" si="0" ref="E23:E30">D23*0.93*$C$10</f>
        <v>41616.791105663586</v>
      </c>
      <c r="F23" s="5">
        <f aca="true" t="shared" si="1" ref="F23:F30">$C$11*0.93*D23</f>
        <v>21.523343632727997</v>
      </c>
      <c r="G23" s="5">
        <f aca="true" t="shared" si="2" ref="G23:G30">$C$12*0.93*D23</f>
        <v>3263.6563395093217</v>
      </c>
      <c r="H23" s="5">
        <f aca="true" t="shared" si="3" ref="H23:H30">$C$13*0.93*D23</f>
        <v>5433.768984622755</v>
      </c>
      <c r="I23" s="5">
        <f aca="true" t="shared" si="4" ref="I23:I30">$C$14*0.93*D23</f>
        <v>1865.3564481697597</v>
      </c>
      <c r="J23" s="5">
        <f aca="true" t="shared" si="5" ref="J23:J30">$C$15*0.93*D23</f>
        <v>3563.203887293875</v>
      </c>
      <c r="K23" s="5">
        <f aca="true" t="shared" si="6" ref="K23:K30">$C$16*0.93*D23</f>
        <v>71.74447877575999</v>
      </c>
      <c r="L23" s="5">
        <f aca="true" t="shared" si="7" ref="L23:L30">$C$17*0.93*D23</f>
        <v>1735.3462693347992</v>
      </c>
      <c r="M23" s="5">
        <f aca="true" t="shared" si="8" ref="M23:M30">K23+E23+F23+G23+H23+I23+J23+L23</f>
        <v>57571.39085700259</v>
      </c>
      <c r="N23" s="6">
        <v>1450</v>
      </c>
      <c r="O23" s="5">
        <f aca="true" t="shared" si="9" ref="O23:O30">M23/N23</f>
        <v>39.70440748758799</v>
      </c>
      <c r="P23" s="6" t="s">
        <v>10</v>
      </c>
    </row>
    <row r="24" spans="2:16" ht="15">
      <c r="B24" s="4" t="s">
        <v>6</v>
      </c>
      <c r="C24" s="23">
        <v>1843036.47</v>
      </c>
      <c r="D24" s="5">
        <f>C24/C61</f>
        <v>0.16937317624746182</v>
      </c>
      <c r="E24" s="5">
        <f t="shared" si="0"/>
        <v>456854.2722741653</v>
      </c>
      <c r="F24" s="5">
        <f t="shared" si="1"/>
        <v>236.27558086520924</v>
      </c>
      <c r="G24" s="5">
        <f t="shared" si="2"/>
        <v>35827.253911861226</v>
      </c>
      <c r="H24" s="5">
        <f t="shared" si="3"/>
        <v>59649.97562817681</v>
      </c>
      <c r="I24" s="5">
        <f t="shared" si="4"/>
        <v>20477.217008318134</v>
      </c>
      <c r="J24" s="5">
        <f t="shared" si="5"/>
        <v>39115.5799292893</v>
      </c>
      <c r="K24" s="5">
        <f t="shared" si="6"/>
        <v>787.5852695506975</v>
      </c>
      <c r="L24" s="5">
        <f t="shared" si="7"/>
        <v>19050.011688977767</v>
      </c>
      <c r="M24" s="5">
        <f>K24+E24+F24+G24+H24+I24+J24+L24</f>
        <v>631998.1712912044</v>
      </c>
      <c r="N24" s="6">
        <v>9000</v>
      </c>
      <c r="O24" s="5">
        <f t="shared" si="9"/>
        <v>70.22201903235604</v>
      </c>
      <c r="P24" s="6" t="s">
        <v>135</v>
      </c>
    </row>
    <row r="25" spans="2:16" ht="15">
      <c r="B25" s="4" t="s">
        <v>8</v>
      </c>
      <c r="C25" s="23">
        <v>577245.36</v>
      </c>
      <c r="D25" s="5">
        <f>C25/C61</f>
        <v>0.05304826121932874</v>
      </c>
      <c r="E25" s="5">
        <f t="shared" si="0"/>
        <v>143088.32904779064</v>
      </c>
      <c r="F25" s="5">
        <f t="shared" si="1"/>
        <v>74.0023244009636</v>
      </c>
      <c r="G25" s="5">
        <f t="shared" si="2"/>
        <v>11221.21912333278</v>
      </c>
      <c r="H25" s="5">
        <f t="shared" si="3"/>
        <v>18682.577483384335</v>
      </c>
      <c r="I25" s="5">
        <f t="shared" si="4"/>
        <v>6413.534781416845</v>
      </c>
      <c r="J25" s="5">
        <f t="shared" si="5"/>
        <v>12251.134139462458</v>
      </c>
      <c r="K25" s="5">
        <f t="shared" si="6"/>
        <v>246.67441466987864</v>
      </c>
      <c r="L25" s="5">
        <f t="shared" si="7"/>
        <v>5966.529167709947</v>
      </c>
      <c r="M25" s="5">
        <f t="shared" si="8"/>
        <v>197944.0004821679</v>
      </c>
      <c r="N25" s="6">
        <v>4900</v>
      </c>
      <c r="O25" s="5">
        <f t="shared" si="9"/>
        <v>40.39673479227916</v>
      </c>
      <c r="P25" s="6" t="s">
        <v>10</v>
      </c>
    </row>
    <row r="26" spans="2:16" ht="15">
      <c r="B26" s="4" t="s">
        <v>9</v>
      </c>
      <c r="C26" s="23">
        <v>31048.29</v>
      </c>
      <c r="D26" s="5">
        <f>C26/C61</f>
        <v>0.002853306258422714</v>
      </c>
      <c r="E26" s="5">
        <f t="shared" si="0"/>
        <v>7696.2904230035365</v>
      </c>
      <c r="F26" s="5">
        <f t="shared" si="1"/>
        <v>3.9803622304996864</v>
      </c>
      <c r="G26" s="5">
        <f t="shared" si="2"/>
        <v>603.5555928847691</v>
      </c>
      <c r="H26" s="5">
        <f t="shared" si="3"/>
        <v>1004.8795951371305</v>
      </c>
      <c r="I26" s="5">
        <f t="shared" si="4"/>
        <v>344.96472664330616</v>
      </c>
      <c r="J26" s="5">
        <f t="shared" si="5"/>
        <v>658.9516208340434</v>
      </c>
      <c r="K26" s="5">
        <f t="shared" si="6"/>
        <v>13.26787410166562</v>
      </c>
      <c r="L26" s="5">
        <f t="shared" si="7"/>
        <v>320.921640483203</v>
      </c>
      <c r="M26" s="5">
        <f t="shared" si="8"/>
        <v>10646.811835318153</v>
      </c>
      <c r="N26" s="6">
        <v>210</v>
      </c>
      <c r="O26" s="5">
        <f t="shared" si="9"/>
        <v>50.69910397770549</v>
      </c>
      <c r="P26" s="6" t="s">
        <v>28</v>
      </c>
    </row>
    <row r="27" spans="2:16" ht="15">
      <c r="B27" s="4" t="s">
        <v>11</v>
      </c>
      <c r="C27" s="23">
        <v>415000</v>
      </c>
      <c r="D27" s="5">
        <f>C27/C61</f>
        <v>0.03813807772490615</v>
      </c>
      <c r="E27" s="5">
        <f t="shared" si="0"/>
        <v>102870.73863154677</v>
      </c>
      <c r="F27" s="5">
        <f t="shared" si="1"/>
        <v>53.20261842624408</v>
      </c>
      <c r="G27" s="5">
        <f t="shared" si="2"/>
        <v>8067.29037403281</v>
      </c>
      <c r="H27" s="5">
        <f t="shared" si="3"/>
        <v>13431.497579477296</v>
      </c>
      <c r="I27" s="5">
        <f t="shared" si="4"/>
        <v>4610.893596941153</v>
      </c>
      <c r="J27" s="5">
        <f t="shared" si="5"/>
        <v>8807.728948876991</v>
      </c>
      <c r="K27" s="5">
        <f t="shared" si="6"/>
        <v>177.3420614208136</v>
      </c>
      <c r="L27" s="5">
        <f t="shared" si="7"/>
        <v>4289.527081862777</v>
      </c>
      <c r="M27" s="5">
        <f t="shared" si="8"/>
        <v>142308.22089258488</v>
      </c>
      <c r="N27" s="6">
        <v>2900</v>
      </c>
      <c r="O27" s="5">
        <f>M27/N27</f>
        <v>49.07180030778789</v>
      </c>
      <c r="P27" s="6" t="s">
        <v>28</v>
      </c>
    </row>
    <row r="28" spans="2:16" ht="15">
      <c r="B28" s="4" t="s">
        <v>12</v>
      </c>
      <c r="C28" s="23">
        <v>1874500</v>
      </c>
      <c r="D28" s="5">
        <f>C28/C61</f>
        <v>0.17226464263936522</v>
      </c>
      <c r="E28" s="5">
        <f t="shared" si="0"/>
        <v>464653.4929273118</v>
      </c>
      <c r="F28" s="5">
        <f t="shared" si="1"/>
        <v>240.30917648191448</v>
      </c>
      <c r="G28" s="5">
        <f t="shared" si="2"/>
        <v>36438.881460540964</v>
      </c>
      <c r="H28" s="5">
        <f t="shared" si="3"/>
        <v>60668.29448850648</v>
      </c>
      <c r="I28" s="5">
        <f t="shared" si="4"/>
        <v>20826.795295099255</v>
      </c>
      <c r="J28" s="5">
        <f t="shared" si="5"/>
        <v>39783.3443726986</v>
      </c>
      <c r="K28" s="5">
        <f t="shared" si="6"/>
        <v>801.0305882730482</v>
      </c>
      <c r="L28" s="5">
        <f t="shared" si="7"/>
        <v>19375.225337233194</v>
      </c>
      <c r="M28" s="5">
        <f t="shared" si="8"/>
        <v>642787.3736461452</v>
      </c>
      <c r="N28" s="6">
        <v>13000</v>
      </c>
      <c r="O28" s="5">
        <f>M28/N28</f>
        <v>49.44518258816502</v>
      </c>
      <c r="P28" s="6" t="s">
        <v>28</v>
      </c>
    </row>
    <row r="29" spans="2:16" ht="15">
      <c r="B29" s="4" t="s">
        <v>13</v>
      </c>
      <c r="C29" s="23">
        <v>387245.36</v>
      </c>
      <c r="D29" s="5">
        <f>C29/C61</f>
        <v>0.035587454550094606</v>
      </c>
      <c r="E29" s="5">
        <f t="shared" si="0"/>
        <v>95990.88244539575</v>
      </c>
      <c r="F29" s="5">
        <f t="shared" si="1"/>
        <v>49.644499097381974</v>
      </c>
      <c r="G29" s="5">
        <f t="shared" si="2"/>
        <v>7527.760879799687</v>
      </c>
      <c r="H29" s="5">
        <f t="shared" si="3"/>
        <v>12533.217145792323</v>
      </c>
      <c r="I29" s="5">
        <f t="shared" si="4"/>
        <v>4302.523255106438</v>
      </c>
      <c r="J29" s="5">
        <f t="shared" si="5"/>
        <v>8218.679921904319</v>
      </c>
      <c r="K29" s="5">
        <f t="shared" si="6"/>
        <v>165.48166365793992</v>
      </c>
      <c r="L29" s="5">
        <f t="shared" si="7"/>
        <v>4002.6492989053027</v>
      </c>
      <c r="M29" s="5">
        <f t="shared" si="8"/>
        <v>132790.83910965914</v>
      </c>
      <c r="N29" s="6">
        <v>1470</v>
      </c>
      <c r="O29" s="5">
        <f t="shared" si="9"/>
        <v>90.3339041562307</v>
      </c>
      <c r="P29" s="6" t="s">
        <v>134</v>
      </c>
    </row>
    <row r="30" spans="2:16" ht="15">
      <c r="B30" s="4" t="s">
        <v>14</v>
      </c>
      <c r="C30" s="23">
        <v>1666157.76</v>
      </c>
      <c r="D30" s="5">
        <f>C30/C61</f>
        <v>0.1531182027779169</v>
      </c>
      <c r="E30" s="5">
        <f t="shared" si="0"/>
        <v>413009.348067189</v>
      </c>
      <c r="F30" s="5">
        <f t="shared" si="1"/>
        <v>213.5998928751941</v>
      </c>
      <c r="G30" s="5">
        <f t="shared" si="2"/>
        <v>32388.863756308598</v>
      </c>
      <c r="H30" s="5">
        <f t="shared" si="3"/>
        <v>53925.286555342915</v>
      </c>
      <c r="I30" s="5">
        <f t="shared" si="4"/>
        <v>18511.990715850156</v>
      </c>
      <c r="J30" s="5">
        <f t="shared" si="5"/>
        <v>35361.60466541697</v>
      </c>
      <c r="K30" s="5">
        <f t="shared" si="6"/>
        <v>711.9996429173136</v>
      </c>
      <c r="L30" s="5">
        <f t="shared" si="7"/>
        <v>17221.756226929687</v>
      </c>
      <c r="M30" s="5">
        <f t="shared" si="8"/>
        <v>571344.4495228298</v>
      </c>
      <c r="N30" s="6">
        <v>9500</v>
      </c>
      <c r="O30" s="5">
        <f t="shared" si="9"/>
        <v>60.141521002403145</v>
      </c>
      <c r="P30" s="6" t="s">
        <v>7</v>
      </c>
    </row>
    <row r="31" spans="2:16" ht="15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</row>
    <row r="32" spans="2:16" ht="15">
      <c r="B32" s="31" t="s">
        <v>15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2:16" ht="15">
      <c r="B33" s="4" t="s">
        <v>16</v>
      </c>
      <c r="C33" s="23">
        <v>294900</v>
      </c>
      <c r="D33" s="5">
        <f>C33/C61</f>
        <v>0.027101009930300776</v>
      </c>
      <c r="E33" s="5">
        <f>D33*0.93*$C$10</f>
        <v>73100.19475287505</v>
      </c>
      <c r="F33" s="5">
        <f>$C$11*0.93*D33</f>
        <v>37.80590885276958</v>
      </c>
      <c r="G33" s="5">
        <f>$C$12*0.93*D33</f>
        <v>5732.635979041628</v>
      </c>
      <c r="H33" s="5">
        <f>$C$13*0.93*D33</f>
        <v>9544.454545030974</v>
      </c>
      <c r="I33" s="5">
        <f>$C$14*0.93*D33</f>
        <v>3276.512100573364</v>
      </c>
      <c r="J33" s="5">
        <f>$C$15*0.93*D33</f>
        <v>6258.79341451524</v>
      </c>
      <c r="K33" s="5">
        <f>$C$16*0.93*D33</f>
        <v>126.01969617589862</v>
      </c>
      <c r="L33" s="5">
        <f>$C$17*0.93*D33</f>
        <v>3048.148280581525</v>
      </c>
      <c r="M33" s="5">
        <f>E33+F33+G33+H33+I33+J33+K33+L33</f>
        <v>101124.56467764644</v>
      </c>
      <c r="N33" s="6">
        <v>1280</v>
      </c>
      <c r="O33" s="5">
        <f aca="true" t="shared" si="10" ref="O33:O63">M33/N33</f>
        <v>79.00356615441129</v>
      </c>
      <c r="P33" s="6" t="s">
        <v>3</v>
      </c>
    </row>
    <row r="34" spans="2:16" ht="15">
      <c r="B34" s="4" t="s">
        <v>17</v>
      </c>
      <c r="C34" s="23">
        <v>101661</v>
      </c>
      <c r="D34" s="5">
        <f>C34/C61</f>
        <v>0.00934254245684743</v>
      </c>
      <c r="E34" s="5">
        <f>D34*0.93*$C$10</f>
        <v>25199.860626558253</v>
      </c>
      <c r="F34" s="5">
        <f>$C$11*0.93*D34</f>
        <v>13.032846727302164</v>
      </c>
      <c r="G34" s="5">
        <f>$C$12*0.93*D34</f>
        <v>1976.2139920832517</v>
      </c>
      <c r="H34" s="5">
        <f>$C$13*0.93*D34</f>
        <v>3290.26379621022</v>
      </c>
      <c r="I34" s="5">
        <f>$C$14*0.93*D34</f>
        <v>1129.5133830328543</v>
      </c>
      <c r="J34" s="5">
        <f>$C$15*0.93*D34</f>
        <v>2157.5964642693584</v>
      </c>
      <c r="K34" s="5">
        <f>$C$16*0.93*D34</f>
        <v>43.44282242434055</v>
      </c>
      <c r="L34" s="5">
        <f>$C$17*0.93*D34</f>
        <v>1050.7894281186789</v>
      </c>
      <c r="M34" s="5">
        <f>E34+F34+G34+H34+I34+J34+K34+L34</f>
        <v>34860.71335942426</v>
      </c>
      <c r="N34" s="6">
        <v>700</v>
      </c>
      <c r="O34" s="5">
        <f t="shared" si="10"/>
        <v>49.801019084891806</v>
      </c>
      <c r="P34" s="6" t="s">
        <v>28</v>
      </c>
    </row>
    <row r="35" spans="2:16" ht="15">
      <c r="B35" s="4" t="s">
        <v>18</v>
      </c>
      <c r="C35" s="23">
        <v>109438.56</v>
      </c>
      <c r="D35" s="5">
        <f>C35/C61</f>
        <v>0.010057292306944108</v>
      </c>
      <c r="E35" s="5">
        <f>D35*0.93*$C$10</f>
        <v>27127.77229391048</v>
      </c>
      <c r="F35" s="5">
        <f>$C$11*0.93*D35</f>
        <v>14.029922768187031</v>
      </c>
      <c r="G35" s="5">
        <f>$C$12*0.93*D35</f>
        <v>2127.4039557494266</v>
      </c>
      <c r="H35" s="5">
        <f>$C$13*0.93*D35</f>
        <v>3541.9849487746524</v>
      </c>
      <c r="I35" s="5">
        <f>$C$14*0.93*D35</f>
        <v>1215.9266399095427</v>
      </c>
      <c r="J35" s="5">
        <f>$C$15*0.93*D35</f>
        <v>2322.6630675552087</v>
      </c>
      <c r="K35" s="5">
        <f>$C$16*0.93*D35</f>
        <v>46.766409227290104</v>
      </c>
      <c r="L35" s="5">
        <f>$C$17*0.93*D35</f>
        <v>1131.179920289312</v>
      </c>
      <c r="M35" s="5">
        <f>E35+F35+G35+H35+I35+J35+K35+L35</f>
        <v>37527.72715818409</v>
      </c>
      <c r="N35" s="6">
        <v>750</v>
      </c>
      <c r="O35" s="5">
        <f t="shared" si="10"/>
        <v>50.03696954424545</v>
      </c>
      <c r="P35" s="6" t="s">
        <v>28</v>
      </c>
    </row>
    <row r="36" spans="2:16" ht="15">
      <c r="B36" s="4" t="s">
        <v>19</v>
      </c>
      <c r="C36" s="23">
        <v>97500</v>
      </c>
      <c r="D36" s="5">
        <f>C36/C61</f>
        <v>0.008960150790791203</v>
      </c>
      <c r="E36" s="5">
        <f>D36*0.93*$C$10</f>
        <v>24168.426545965805</v>
      </c>
      <c r="F36" s="5">
        <f>$C$11*0.93*D36</f>
        <v>12.49941035315373</v>
      </c>
      <c r="G36" s="5">
        <f>$C$12*0.93*D36</f>
        <v>1895.3272565498771</v>
      </c>
      <c r="H36" s="5">
        <f>$C$13*0.93*D36</f>
        <v>3155.592804816955</v>
      </c>
      <c r="I36" s="5">
        <f>$C$14*0.93*D36</f>
        <v>1083.2822306066564</v>
      </c>
      <c r="J36" s="5">
        <f>$C$15*0.93*D36</f>
        <v>2069.285716904835</v>
      </c>
      <c r="K36" s="5">
        <f>$C$16*0.93*D36</f>
        <v>41.6647011771791</v>
      </c>
      <c r="L36" s="5">
        <f>$C$17*0.93*D36</f>
        <v>1007.7804589918572</v>
      </c>
      <c r="M36" s="5">
        <f>E36+F36+G36+H36+I36+J36+K36+L36</f>
        <v>33433.85912536632</v>
      </c>
      <c r="N36" s="6">
        <v>680</v>
      </c>
      <c r="O36" s="5">
        <f t="shared" si="10"/>
        <v>49.16743989024459</v>
      </c>
      <c r="P36" s="6" t="s">
        <v>28</v>
      </c>
    </row>
    <row r="37" spans="2:16" ht="15">
      <c r="B37" s="31" t="s">
        <v>20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</row>
    <row r="38" spans="2:16" ht="15">
      <c r="B38" s="4" t="s">
        <v>22</v>
      </c>
      <c r="C38" s="24">
        <v>135837</v>
      </c>
      <c r="D38" s="5">
        <f>C38/C61</f>
        <v>0.012483282081730305</v>
      </c>
      <c r="E38" s="5">
        <f>D38*$C$10*0.93</f>
        <v>33671.45186383956</v>
      </c>
      <c r="F38" s="5">
        <f>$C$11*0.93*D38</f>
        <v>17.414178504013776</v>
      </c>
      <c r="G38" s="5">
        <f>$C$12*D38*0.93</f>
        <v>2640.569933825289</v>
      </c>
      <c r="H38" s="5">
        <f>$C$13*0.93*D38</f>
        <v>4396.371895670982</v>
      </c>
      <c r="I38" s="5">
        <f>$C$14*0.93*D38</f>
        <v>1509.2288036811938</v>
      </c>
      <c r="J38" s="5">
        <f>$C$15*0.93*D38</f>
        <v>2882.928860791817</v>
      </c>
      <c r="K38" s="5">
        <f>$C$16*0.93*D38</f>
        <v>58.04726168004592</v>
      </c>
      <c r="L38" s="5">
        <f>$C$17*0.93*D38</f>
        <v>1404.0397354674556</v>
      </c>
      <c r="M38" s="5">
        <f>K38+E38+F38+G38+H38+I38+J38+L38</f>
        <v>46580.05253346035</v>
      </c>
      <c r="N38" s="6">
        <v>4500</v>
      </c>
      <c r="O38" s="5">
        <f t="shared" si="10"/>
        <v>10.351122785213411</v>
      </c>
      <c r="P38" s="6" t="s">
        <v>23</v>
      </c>
    </row>
    <row r="39" spans="2:16" ht="15">
      <c r="B39" s="4" t="s">
        <v>24</v>
      </c>
      <c r="C39" s="24">
        <v>84636.9</v>
      </c>
      <c r="D39" s="5">
        <f>C39/C61</f>
        <v>0.007778044989385805</v>
      </c>
      <c r="E39" s="5">
        <f aca="true" t="shared" si="11" ref="E39:E45">D39*$C$10*0.93</f>
        <v>20979.90462285388</v>
      </c>
      <c r="F39" s="5">
        <f aca="true" t="shared" si="12" ref="F39:F45">$C$11*0.93*D39</f>
        <v>10.850372760193197</v>
      </c>
      <c r="G39" s="5">
        <f aca="true" t="shared" si="13" ref="G39:G45">$C$12*D39*0.93</f>
        <v>1645.2781895372952</v>
      </c>
      <c r="H39" s="5">
        <f aca="true" t="shared" si="14" ref="H39:H45">$C$13*0.93*D39</f>
        <v>2739.2778734565345</v>
      </c>
      <c r="I39" s="5">
        <f aca="true" t="shared" si="15" ref="I39:I45">$C$14*0.93*D39</f>
        <v>940.3656392167438</v>
      </c>
      <c r="J39" s="5">
        <f aca="true" t="shared" si="16" ref="J39:J45">$C$15*0.93*D39</f>
        <v>1796.2864440318242</v>
      </c>
      <c r="K39" s="5">
        <f aca="true" t="shared" si="17" ref="K39:K45">$C$16*0.93*D39</f>
        <v>36.16790920064399</v>
      </c>
      <c r="L39" s="5">
        <f aca="true" t="shared" si="18" ref="L39:L45">$C$17*0.93*D39</f>
        <v>874.8247582527991</v>
      </c>
      <c r="M39" s="5">
        <f aca="true" t="shared" si="19" ref="M39:M44">K39+E39+F39+G39+H39+I39+J39+L39</f>
        <v>29022.955809309908</v>
      </c>
      <c r="N39" s="6">
        <v>3000</v>
      </c>
      <c r="O39" s="5">
        <f t="shared" si="10"/>
        <v>9.674318603103302</v>
      </c>
      <c r="P39" s="6" t="s">
        <v>23</v>
      </c>
    </row>
    <row r="40" spans="2:16" ht="15">
      <c r="B40" s="4" t="s">
        <v>25</v>
      </c>
      <c r="C40" s="24">
        <v>132702.3</v>
      </c>
      <c r="D40" s="5">
        <f>C40/C61</f>
        <v>0.012195206341382681</v>
      </c>
      <c r="E40" s="5">
        <f t="shared" si="11"/>
        <v>32894.41835928942</v>
      </c>
      <c r="F40" s="5">
        <f t="shared" si="12"/>
        <v>17.01231284622884</v>
      </c>
      <c r="G40" s="5">
        <f t="shared" si="13"/>
        <v>2579.6337045831665</v>
      </c>
      <c r="H40" s="5">
        <f t="shared" si="14"/>
        <v>4294.917159617035</v>
      </c>
      <c r="I40" s="5">
        <f t="shared" si="15"/>
        <v>1474.400446673166</v>
      </c>
      <c r="J40" s="5">
        <f t="shared" si="16"/>
        <v>2816.3997332350823</v>
      </c>
      <c r="K40" s="5">
        <f t="shared" si="17"/>
        <v>56.70770948742947</v>
      </c>
      <c r="L40" s="5">
        <f t="shared" si="18"/>
        <v>1371.6388184951295</v>
      </c>
      <c r="M40" s="5">
        <f t="shared" si="19"/>
        <v>45505.12824422666</v>
      </c>
      <c r="N40" s="6">
        <v>4500</v>
      </c>
      <c r="O40" s="5">
        <f t="shared" si="10"/>
        <v>10.112250720939258</v>
      </c>
      <c r="P40" s="6" t="s">
        <v>23</v>
      </c>
    </row>
    <row r="41" spans="2:16" ht="15">
      <c r="B41" s="4" t="s">
        <v>26</v>
      </c>
      <c r="C41" s="24">
        <v>49386.36</v>
      </c>
      <c r="D41" s="5">
        <f>C41/C61</f>
        <v>0.00453855623187999</v>
      </c>
      <c r="E41" s="5">
        <f t="shared" si="11"/>
        <v>12241.955015719219</v>
      </c>
      <c r="F41" s="5">
        <f t="shared" si="12"/>
        <v>6.3312859434725866</v>
      </c>
      <c r="G41" s="5">
        <f t="shared" si="13"/>
        <v>960.0339918952264</v>
      </c>
      <c r="H41" s="5">
        <f t="shared" si="14"/>
        <v>1598.3922284317935</v>
      </c>
      <c r="I41" s="5">
        <f t="shared" si="15"/>
        <v>548.7114484342908</v>
      </c>
      <c r="J41" s="5">
        <f t="shared" si="16"/>
        <v>1048.1486087991823</v>
      </c>
      <c r="K41" s="5">
        <f t="shared" si="17"/>
        <v>21.104286478241953</v>
      </c>
      <c r="L41" s="5">
        <f t="shared" si="18"/>
        <v>510.46777998704715</v>
      </c>
      <c r="M41" s="5">
        <f t="shared" si="19"/>
        <v>16935.144645688473</v>
      </c>
      <c r="N41" s="6">
        <v>1700</v>
      </c>
      <c r="O41" s="5">
        <f t="shared" si="10"/>
        <v>9.961849791581455</v>
      </c>
      <c r="P41" s="6" t="s">
        <v>23</v>
      </c>
    </row>
    <row r="42" spans="2:16" ht="15">
      <c r="B42" s="28" t="s">
        <v>110</v>
      </c>
      <c r="C42" s="24">
        <v>98000</v>
      </c>
      <c r="D42" s="5">
        <f>C42/C61</f>
        <v>0.00900610028202603</v>
      </c>
      <c r="E42" s="5">
        <f t="shared" si="11"/>
        <v>24292.36719491948</v>
      </c>
      <c r="F42" s="5">
        <f t="shared" si="12"/>
        <v>12.563509893426312</v>
      </c>
      <c r="G42" s="5">
        <f t="shared" si="13"/>
        <v>1905.046883506543</v>
      </c>
      <c r="H42" s="5">
        <f t="shared" si="14"/>
        <v>3171.7753320211445</v>
      </c>
      <c r="I42" s="5">
        <f t="shared" si="15"/>
        <v>1088.8375240969472</v>
      </c>
      <c r="J42" s="5">
        <f t="shared" si="16"/>
        <v>2079.8974385299884</v>
      </c>
      <c r="K42" s="5">
        <f t="shared" si="17"/>
        <v>41.87836631142104</v>
      </c>
      <c r="L42" s="5">
        <f t="shared" si="18"/>
        <v>1012.9485639097643</v>
      </c>
      <c r="M42" s="5">
        <f t="shared" si="19"/>
        <v>33605.314813188714</v>
      </c>
      <c r="N42" s="6">
        <v>1100</v>
      </c>
      <c r="O42" s="5">
        <f>M42/N42</f>
        <v>30.55028619380792</v>
      </c>
      <c r="P42" s="6" t="s">
        <v>97</v>
      </c>
    </row>
    <row r="43" spans="2:16" ht="15">
      <c r="B43" s="29" t="s">
        <v>27</v>
      </c>
      <c r="C43" s="24">
        <v>109000</v>
      </c>
      <c r="D43" s="5">
        <f>C43/C61</f>
        <v>0.010016989089192217</v>
      </c>
      <c r="E43" s="5">
        <f t="shared" si="11"/>
        <v>27019.061471900237</v>
      </c>
      <c r="F43" s="5">
        <f t="shared" si="12"/>
        <v>13.973699779423143</v>
      </c>
      <c r="G43" s="5">
        <f t="shared" si="13"/>
        <v>2118.878676553196</v>
      </c>
      <c r="H43" s="5">
        <f t="shared" si="14"/>
        <v>3527.7909305133135</v>
      </c>
      <c r="I43" s="5">
        <f t="shared" si="15"/>
        <v>1211.053980883339</v>
      </c>
      <c r="J43" s="5">
        <f t="shared" si="16"/>
        <v>2313.3553142833543</v>
      </c>
      <c r="K43" s="5">
        <f t="shared" si="17"/>
        <v>46.57899926474381</v>
      </c>
      <c r="L43" s="5">
        <f t="shared" si="18"/>
        <v>1126.6468721037172</v>
      </c>
      <c r="M43" s="5">
        <f t="shared" si="19"/>
        <v>37377.339945281325</v>
      </c>
      <c r="N43" s="6">
        <v>750</v>
      </c>
      <c r="O43" s="5">
        <f t="shared" si="10"/>
        <v>49.8364532603751</v>
      </c>
      <c r="P43" s="6" t="s">
        <v>28</v>
      </c>
    </row>
    <row r="44" spans="2:16" ht="15">
      <c r="B44" s="4" t="s">
        <v>29</v>
      </c>
      <c r="C44" s="24">
        <v>271000</v>
      </c>
      <c r="D44" s="5">
        <f>C44/C61</f>
        <v>0.024904624249276062</v>
      </c>
      <c r="E44" s="5">
        <f t="shared" si="11"/>
        <v>67175.83173288958</v>
      </c>
      <c r="F44" s="5">
        <f t="shared" si="12"/>
        <v>34.741950827740105</v>
      </c>
      <c r="G44" s="5">
        <f t="shared" si="13"/>
        <v>5268.037810512991</v>
      </c>
      <c r="H44" s="5">
        <f t="shared" si="14"/>
        <v>8770.929744670715</v>
      </c>
      <c r="I44" s="5">
        <f t="shared" si="15"/>
        <v>3010.969071737476</v>
      </c>
      <c r="J44" s="5">
        <f t="shared" si="16"/>
        <v>5751.553120832927</v>
      </c>
      <c r="K44" s="5">
        <f t="shared" si="17"/>
        <v>115.80650275913369</v>
      </c>
      <c r="L44" s="5">
        <f t="shared" si="18"/>
        <v>2801.1128655055727</v>
      </c>
      <c r="M44" s="5">
        <f t="shared" si="19"/>
        <v>92928.98279973614</v>
      </c>
      <c r="N44" s="6">
        <v>3700</v>
      </c>
      <c r="O44" s="5">
        <f t="shared" si="10"/>
        <v>25.115941297225984</v>
      </c>
      <c r="P44" s="6" t="s">
        <v>30</v>
      </c>
    </row>
    <row r="45" spans="2:16" ht="15">
      <c r="B45" s="4" t="s">
        <v>31</v>
      </c>
      <c r="C45" s="24">
        <v>120000</v>
      </c>
      <c r="D45" s="5">
        <f>C45/C61</f>
        <v>0.011027877896358404</v>
      </c>
      <c r="E45" s="5">
        <f t="shared" si="11"/>
        <v>29745.755748880994</v>
      </c>
      <c r="F45" s="5">
        <f t="shared" si="12"/>
        <v>15.383889665419973</v>
      </c>
      <c r="G45" s="5">
        <f t="shared" si="13"/>
        <v>2332.7104695998487</v>
      </c>
      <c r="H45" s="5">
        <f t="shared" si="14"/>
        <v>3883.8065290054833</v>
      </c>
      <c r="I45" s="5">
        <f t="shared" si="15"/>
        <v>1333.270437669731</v>
      </c>
      <c r="J45" s="5">
        <f t="shared" si="16"/>
        <v>2546.8131900367207</v>
      </c>
      <c r="K45" s="5">
        <f t="shared" si="17"/>
        <v>51.27963221806658</v>
      </c>
      <c r="L45" s="5">
        <f t="shared" si="18"/>
        <v>1240.3451802976706</v>
      </c>
      <c r="M45" s="5">
        <f>K45+E45+F45+G45+H45+I45+J45+L45</f>
        <v>41149.365077373935</v>
      </c>
      <c r="N45" s="6">
        <v>1650</v>
      </c>
      <c r="O45" s="5">
        <f t="shared" si="10"/>
        <v>24.939009137802387</v>
      </c>
      <c r="P45" s="6" t="s">
        <v>30</v>
      </c>
    </row>
    <row r="46" spans="2:16" ht="15">
      <c r="B46" s="31" t="s">
        <v>32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/>
    </row>
    <row r="47" spans="2:16" ht="15">
      <c r="B47" s="4" t="s">
        <v>33</v>
      </c>
      <c r="C47" s="23">
        <f>10384*7</f>
        <v>72688</v>
      </c>
      <c r="D47" s="5">
        <f>C47/C61</f>
        <v>0.006679953237754163</v>
      </c>
      <c r="E47" s="5">
        <f>$C$10*0.93*D47</f>
        <v>18017.995782288846</v>
      </c>
      <c r="F47" s="5">
        <f>$C$11*0.93*D47</f>
        <v>9.318534766667058</v>
      </c>
      <c r="G47" s="5">
        <f>$C$12*0.93*D47</f>
        <v>1413.0004884522816</v>
      </c>
      <c r="H47" s="5">
        <f>$C$13*0.93*D47</f>
        <v>2352.5510748362544</v>
      </c>
      <c r="I47" s="5">
        <f>$C$14*0.93*D47</f>
        <v>807.6063464444784</v>
      </c>
      <c r="J47" s="5">
        <f>$C$15*0.93*D47</f>
        <v>1542.6896429782428</v>
      </c>
      <c r="K47" s="5">
        <f>$C$16*0.93*D47</f>
        <v>31.06178255555686</v>
      </c>
      <c r="L47" s="5">
        <f>$C$17*0.93*D47</f>
        <v>751.3184205456422</v>
      </c>
      <c r="M47" s="5">
        <f>E47+F47+G47+H47+I47+J47+K47+L47</f>
        <v>24925.542072867967</v>
      </c>
      <c r="N47" s="6">
        <v>500</v>
      </c>
      <c r="O47" s="5">
        <f t="shared" si="10"/>
        <v>49.85108414573593</v>
      </c>
      <c r="P47" s="6" t="s">
        <v>28</v>
      </c>
    </row>
    <row r="48" spans="2:16" ht="15">
      <c r="B48" s="4" t="s">
        <v>34</v>
      </c>
      <c r="C48" s="23">
        <v>250000</v>
      </c>
      <c r="D48" s="5">
        <f>C48/C61</f>
        <v>0.02297474561741334</v>
      </c>
      <c r="E48" s="5">
        <f aca="true" t="shared" si="20" ref="E48:E57">$C$10*0.93*D48</f>
        <v>61970.324476835405</v>
      </c>
      <c r="F48" s="5">
        <f aca="true" t="shared" si="21" ref="F48:F57">$C$11*0.93*D48</f>
        <v>32.04977013629161</v>
      </c>
      <c r="G48" s="5">
        <f aca="true" t="shared" si="22" ref="G48:G57">$C$12*0.93*D48</f>
        <v>4859.813478333018</v>
      </c>
      <c r="H48" s="5">
        <f aca="true" t="shared" si="23" ref="H48:H57">$C$13*0.93*D48</f>
        <v>8091.263602094756</v>
      </c>
      <c r="I48" s="5">
        <f aca="true" t="shared" si="24" ref="I48:I57">$C$14*0.93*D48</f>
        <v>2777.6467451452727</v>
      </c>
      <c r="J48" s="5">
        <f aca="true" t="shared" si="25" ref="J48:J57">$C$15*0.93*D48</f>
        <v>5305.8608125765</v>
      </c>
      <c r="K48" s="5">
        <f aca="true" t="shared" si="26" ref="K48:K57">$C$16*0.93*D48</f>
        <v>106.83256712097203</v>
      </c>
      <c r="L48" s="5">
        <f aca="true" t="shared" si="27" ref="L48:L57">$C$17*0.93*D48</f>
        <v>2584.0524589534803</v>
      </c>
      <c r="M48" s="5">
        <f aca="true" t="shared" si="28" ref="M48:M57">E48+F48+G48+H48+I48+J48+K48+L48</f>
        <v>85727.8439111957</v>
      </c>
      <c r="N48" s="6">
        <v>2100</v>
      </c>
      <c r="O48" s="5">
        <f t="shared" si="10"/>
        <v>40.822782814855096</v>
      </c>
      <c r="P48" s="6" t="s">
        <v>10</v>
      </c>
    </row>
    <row r="49" spans="2:16" ht="15">
      <c r="B49" s="4" t="s">
        <v>35</v>
      </c>
      <c r="C49" s="23">
        <v>53333</v>
      </c>
      <c r="D49" s="5">
        <f>C49/C61</f>
        <v>0.004901248432054023</v>
      </c>
      <c r="E49" s="5">
        <f t="shared" si="20"/>
        <v>13220.253261292251</v>
      </c>
      <c r="F49" s="5">
        <f t="shared" si="21"/>
        <v>6.837241562715362</v>
      </c>
      <c r="G49" s="5">
        <f t="shared" si="22"/>
        <v>1036.7537289597394</v>
      </c>
      <c r="H49" s="5">
        <f t="shared" si="23"/>
        <v>1726.1254467620786</v>
      </c>
      <c r="I49" s="5">
        <f t="shared" si="24"/>
        <v>592.5609354353314</v>
      </c>
      <c r="J49" s="5">
        <f t="shared" si="25"/>
        <v>1131.90989886857</v>
      </c>
      <c r="K49" s="5">
        <f t="shared" si="26"/>
        <v>22.790805209051207</v>
      </c>
      <c r="L49" s="5">
        <f t="shared" si="27"/>
        <v>551.2610791734638</v>
      </c>
      <c r="M49" s="5">
        <f t="shared" si="28"/>
        <v>18288.4923972632</v>
      </c>
      <c r="N49" s="6">
        <v>750</v>
      </c>
      <c r="O49" s="5">
        <f t="shared" si="10"/>
        <v>24.384656529684264</v>
      </c>
      <c r="P49" s="6" t="s">
        <v>30</v>
      </c>
    </row>
    <row r="50" spans="2:16" ht="15">
      <c r="B50" s="4" t="s">
        <v>36</v>
      </c>
      <c r="C50" s="23">
        <v>53333</v>
      </c>
      <c r="D50" s="5">
        <f>C50/C61</f>
        <v>0.004901248432054023</v>
      </c>
      <c r="E50" s="5">
        <f t="shared" si="20"/>
        <v>13220.253261292251</v>
      </c>
      <c r="F50" s="5">
        <f t="shared" si="21"/>
        <v>6.837241562715362</v>
      </c>
      <c r="G50" s="5">
        <f t="shared" si="22"/>
        <v>1036.7537289597394</v>
      </c>
      <c r="H50" s="5">
        <f t="shared" si="23"/>
        <v>1726.1254467620786</v>
      </c>
      <c r="I50" s="5">
        <f t="shared" si="24"/>
        <v>592.5609354353314</v>
      </c>
      <c r="J50" s="5">
        <f t="shared" si="25"/>
        <v>1131.90989886857</v>
      </c>
      <c r="K50" s="5">
        <f t="shared" si="26"/>
        <v>22.790805209051207</v>
      </c>
      <c r="L50" s="5">
        <f t="shared" si="27"/>
        <v>551.2610791734638</v>
      </c>
      <c r="M50" s="5">
        <f t="shared" si="28"/>
        <v>18288.4923972632</v>
      </c>
      <c r="N50" s="6">
        <v>750</v>
      </c>
      <c r="O50" s="5">
        <f t="shared" si="10"/>
        <v>24.384656529684264</v>
      </c>
      <c r="P50" s="6" t="s">
        <v>30</v>
      </c>
    </row>
    <row r="51" spans="2:16" ht="15">
      <c r="B51" s="4" t="s">
        <v>37</v>
      </c>
      <c r="C51" s="23">
        <v>53334</v>
      </c>
      <c r="D51" s="5">
        <f>C51/C61</f>
        <v>0.004901340331036492</v>
      </c>
      <c r="E51" s="5">
        <f t="shared" si="20"/>
        <v>13220.501142590158</v>
      </c>
      <c r="F51" s="5">
        <f t="shared" si="21"/>
        <v>6.837369761795906</v>
      </c>
      <c r="G51" s="5">
        <f t="shared" si="22"/>
        <v>1036.7731682136525</v>
      </c>
      <c r="H51" s="5">
        <f t="shared" si="23"/>
        <v>1726.1578118164869</v>
      </c>
      <c r="I51" s="5">
        <f t="shared" si="24"/>
        <v>592.572046022312</v>
      </c>
      <c r="J51" s="5">
        <f t="shared" si="25"/>
        <v>1131.9311223118202</v>
      </c>
      <c r="K51" s="5">
        <f t="shared" si="26"/>
        <v>22.79123253931969</v>
      </c>
      <c r="L51" s="5">
        <f t="shared" si="27"/>
        <v>551.2714153832997</v>
      </c>
      <c r="M51" s="5">
        <f t="shared" si="28"/>
        <v>18288.835308638845</v>
      </c>
      <c r="N51" s="6">
        <v>750</v>
      </c>
      <c r="O51" s="5">
        <f t="shared" si="10"/>
        <v>24.385113744851793</v>
      </c>
      <c r="P51" s="6" t="s">
        <v>30</v>
      </c>
    </row>
    <row r="52" spans="2:16" ht="15">
      <c r="B52" s="4" t="s">
        <v>38</v>
      </c>
      <c r="C52" s="23">
        <v>62000</v>
      </c>
      <c r="D52" s="5">
        <f>C52/C61</f>
        <v>0.005697736913118509</v>
      </c>
      <c r="E52" s="5">
        <f t="shared" si="20"/>
        <v>15368.64047025518</v>
      </c>
      <c r="F52" s="5">
        <f t="shared" si="21"/>
        <v>7.94834299380032</v>
      </c>
      <c r="G52" s="5">
        <f t="shared" si="22"/>
        <v>1205.2337426265885</v>
      </c>
      <c r="H52" s="5">
        <f t="shared" si="23"/>
        <v>2006.6333733194997</v>
      </c>
      <c r="I52" s="5">
        <f t="shared" si="24"/>
        <v>688.8563927960278</v>
      </c>
      <c r="J52" s="5">
        <f t="shared" si="25"/>
        <v>1315.8534815189723</v>
      </c>
      <c r="K52" s="5">
        <f t="shared" si="26"/>
        <v>26.494476646001065</v>
      </c>
      <c r="L52" s="5">
        <f t="shared" si="27"/>
        <v>640.8450098204631</v>
      </c>
      <c r="M52" s="5">
        <f t="shared" si="28"/>
        <v>21260.505289976532</v>
      </c>
      <c r="N52" s="6">
        <v>850</v>
      </c>
      <c r="O52" s="5">
        <f t="shared" si="10"/>
        <v>25.012359164678273</v>
      </c>
      <c r="P52" s="6" t="s">
        <v>30</v>
      </c>
    </row>
    <row r="53" spans="2:16" ht="15">
      <c r="B53" s="4" t="s">
        <v>39</v>
      </c>
      <c r="C53" s="23">
        <v>69453.72</v>
      </c>
      <c r="D53" s="5">
        <f>C53/C61</f>
        <v>0.006382726196732213</v>
      </c>
      <c r="E53" s="5">
        <f t="shared" si="20"/>
        <v>17216.27825809309</v>
      </c>
      <c r="F53" s="5">
        <f t="shared" si="21"/>
        <v>8.903903044441437</v>
      </c>
      <c r="G53" s="5">
        <f t="shared" si="22"/>
        <v>1350.12849830547</v>
      </c>
      <c r="H53" s="5">
        <f t="shared" si="23"/>
        <v>2247.8734266643223</v>
      </c>
      <c r="I53" s="5">
        <f t="shared" si="24"/>
        <v>771.6715971849245</v>
      </c>
      <c r="J53" s="5">
        <f t="shared" si="25"/>
        <v>1474.047084942643</v>
      </c>
      <c r="K53" s="5">
        <f t="shared" si="26"/>
        <v>29.67967681480479</v>
      </c>
      <c r="L53" s="5">
        <f t="shared" si="27"/>
        <v>717.888223797866</v>
      </c>
      <c r="M53" s="5">
        <f t="shared" si="28"/>
        <v>23816.47066884756</v>
      </c>
      <c r="N53" s="6">
        <v>950</v>
      </c>
      <c r="O53" s="5">
        <f t="shared" si="10"/>
        <v>25.069969125102695</v>
      </c>
      <c r="P53" s="6" t="s">
        <v>30</v>
      </c>
    </row>
    <row r="54" spans="2:16" ht="15">
      <c r="B54" s="4" t="s">
        <v>40</v>
      </c>
      <c r="C54" s="23">
        <v>69453.72</v>
      </c>
      <c r="D54" s="5">
        <f>C54/C61</f>
        <v>0.006382726196732213</v>
      </c>
      <c r="E54" s="5">
        <f t="shared" si="20"/>
        <v>17216.27825809309</v>
      </c>
      <c r="F54" s="5">
        <f t="shared" si="21"/>
        <v>8.903903044441437</v>
      </c>
      <c r="G54" s="5">
        <f t="shared" si="22"/>
        <v>1350.12849830547</v>
      </c>
      <c r="H54" s="5">
        <f t="shared" si="23"/>
        <v>2247.8734266643223</v>
      </c>
      <c r="I54" s="5">
        <f t="shared" si="24"/>
        <v>771.6715971849245</v>
      </c>
      <c r="J54" s="5">
        <f t="shared" si="25"/>
        <v>1474.047084942643</v>
      </c>
      <c r="K54" s="5">
        <f t="shared" si="26"/>
        <v>29.67967681480479</v>
      </c>
      <c r="L54" s="5">
        <f t="shared" si="27"/>
        <v>717.888223797866</v>
      </c>
      <c r="M54" s="5">
        <f t="shared" si="28"/>
        <v>23816.47066884756</v>
      </c>
      <c r="N54" s="6">
        <v>950</v>
      </c>
      <c r="O54" s="5">
        <f t="shared" si="10"/>
        <v>25.069969125102695</v>
      </c>
      <c r="P54" s="6" t="s">
        <v>30</v>
      </c>
    </row>
    <row r="55" spans="2:16" ht="15">
      <c r="B55" s="4" t="s">
        <v>41</v>
      </c>
      <c r="C55" s="23">
        <v>80147</v>
      </c>
      <c r="D55" s="5">
        <f>C55/C61</f>
        <v>0.007365427747995308</v>
      </c>
      <c r="E55" s="5">
        <f t="shared" si="20"/>
        <v>19866.94238337971</v>
      </c>
      <c r="F55" s="5">
        <f t="shared" si="21"/>
        <v>10.274771708453455</v>
      </c>
      <c r="G55" s="5">
        <f t="shared" si="22"/>
        <v>1557.9978833918256</v>
      </c>
      <c r="H55" s="5">
        <f t="shared" si="23"/>
        <v>2593.9620156683536</v>
      </c>
      <c r="I55" s="5">
        <f t="shared" si="24"/>
        <v>890.4802147326327</v>
      </c>
      <c r="J55" s="5">
        <f t="shared" si="25"/>
        <v>1700.9953061822753</v>
      </c>
      <c r="K55" s="5">
        <f t="shared" si="26"/>
        <v>34.24923902817818</v>
      </c>
      <c r="L55" s="5">
        <f t="shared" si="27"/>
        <v>828.4162097109783</v>
      </c>
      <c r="M55" s="5">
        <f t="shared" si="28"/>
        <v>27483.3180238024</v>
      </c>
      <c r="N55" s="6">
        <v>1100</v>
      </c>
      <c r="O55" s="5">
        <f t="shared" si="10"/>
        <v>24.984834567093092</v>
      </c>
      <c r="P55" s="6" t="s">
        <v>30</v>
      </c>
    </row>
    <row r="56" spans="2:16" ht="15">
      <c r="B56" s="4" t="s">
        <v>42</v>
      </c>
      <c r="C56" s="23">
        <v>80147</v>
      </c>
      <c r="D56" s="5">
        <f>C56/C61</f>
        <v>0.007365427747995308</v>
      </c>
      <c r="E56" s="5">
        <f t="shared" si="20"/>
        <v>19866.94238337971</v>
      </c>
      <c r="F56" s="5">
        <f t="shared" si="21"/>
        <v>10.274771708453455</v>
      </c>
      <c r="G56" s="5">
        <f t="shared" si="22"/>
        <v>1557.9978833918256</v>
      </c>
      <c r="H56" s="5">
        <f t="shared" si="23"/>
        <v>2593.9620156683536</v>
      </c>
      <c r="I56" s="5">
        <f t="shared" si="24"/>
        <v>890.4802147326327</v>
      </c>
      <c r="J56" s="5">
        <f t="shared" si="25"/>
        <v>1700.9953061822753</v>
      </c>
      <c r="K56" s="5">
        <f t="shared" si="26"/>
        <v>34.24923902817818</v>
      </c>
      <c r="L56" s="5">
        <f t="shared" si="27"/>
        <v>828.4162097109783</v>
      </c>
      <c r="M56" s="5">
        <f t="shared" si="28"/>
        <v>27483.3180238024</v>
      </c>
      <c r="N56" s="6">
        <v>1100</v>
      </c>
      <c r="O56" s="5">
        <f t="shared" si="10"/>
        <v>24.984834567093092</v>
      </c>
      <c r="P56" s="6" t="s">
        <v>30</v>
      </c>
    </row>
    <row r="57" spans="2:16" ht="15">
      <c r="B57" s="4" t="s">
        <v>43</v>
      </c>
      <c r="C57" s="23">
        <v>80147</v>
      </c>
      <c r="D57" s="5">
        <f>C57/C61</f>
        <v>0.007365427747995308</v>
      </c>
      <c r="E57" s="5">
        <f t="shared" si="20"/>
        <v>19866.94238337971</v>
      </c>
      <c r="F57" s="5">
        <f t="shared" si="21"/>
        <v>10.274771708453455</v>
      </c>
      <c r="G57" s="5">
        <f t="shared" si="22"/>
        <v>1557.9978833918256</v>
      </c>
      <c r="H57" s="5">
        <f t="shared" si="23"/>
        <v>2593.9620156683536</v>
      </c>
      <c r="I57" s="5">
        <f t="shared" si="24"/>
        <v>890.4802147326327</v>
      </c>
      <c r="J57" s="5">
        <f t="shared" si="25"/>
        <v>1700.9953061822753</v>
      </c>
      <c r="K57" s="5">
        <f t="shared" si="26"/>
        <v>34.24923902817818</v>
      </c>
      <c r="L57" s="5">
        <f t="shared" si="27"/>
        <v>828.4162097109783</v>
      </c>
      <c r="M57" s="5">
        <f t="shared" si="28"/>
        <v>27483.3180238024</v>
      </c>
      <c r="N57" s="6">
        <v>1100</v>
      </c>
      <c r="O57" s="5">
        <f t="shared" si="10"/>
        <v>24.984834567093092</v>
      </c>
      <c r="P57" s="6" t="s">
        <v>30</v>
      </c>
    </row>
    <row r="58" spans="2:16" ht="15">
      <c r="B58" s="31" t="s">
        <v>44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3"/>
    </row>
    <row r="59" spans="2:16" ht="15">
      <c r="B59" s="4" t="s">
        <v>45</v>
      </c>
      <c r="C59" s="23">
        <v>436967.66</v>
      </c>
      <c r="D59" s="5">
        <f>C59/C61</f>
        <v>0.04015688332614545</v>
      </c>
      <c r="E59" s="5">
        <f>C10*0.93*D59</f>
        <v>108316.11070433396</v>
      </c>
      <c r="F59" s="5">
        <f>C11*0.93*D59</f>
        <v>56.0188522399729</v>
      </c>
      <c r="G59" s="5">
        <f>C12*0.93*D59</f>
        <v>8494.325294654558</v>
      </c>
      <c r="H59" s="5">
        <f>C13*0.93*D59</f>
        <v>14142.482090602065</v>
      </c>
      <c r="I59" s="5">
        <f>C14*0.93*D59</f>
        <v>4854.967194130984</v>
      </c>
      <c r="J59" s="5">
        <f>C15*0.93*D59</f>
        <v>9273.958334229008</v>
      </c>
      <c r="K59" s="5">
        <f>C16*0.93*D59</f>
        <v>186.72950746657634</v>
      </c>
      <c r="L59" s="5">
        <f>C17*0.93*D59</f>
        <v>4516.589425224593</v>
      </c>
      <c r="M59" s="5">
        <f>E59+F59+G59+H59+I59+J59+K59+L59</f>
        <v>149841.1814028817</v>
      </c>
      <c r="N59" s="6">
        <v>3000</v>
      </c>
      <c r="O59" s="5">
        <f t="shared" si="10"/>
        <v>49.94706046762723</v>
      </c>
      <c r="P59" s="6" t="s">
        <v>28</v>
      </c>
    </row>
    <row r="60" spans="2:16" ht="15">
      <c r="B60" s="4"/>
      <c r="C60" s="4"/>
      <c r="D60" s="4"/>
      <c r="E60" s="5"/>
      <c r="F60" s="5"/>
      <c r="G60" s="4"/>
      <c r="H60" s="4"/>
      <c r="I60" s="4"/>
      <c r="J60" s="4"/>
      <c r="K60" s="4"/>
      <c r="L60" s="4"/>
      <c r="M60" s="5"/>
      <c r="N60" s="4"/>
      <c r="O60" s="5"/>
      <c r="P60" s="6"/>
    </row>
    <row r="61" spans="2:16" ht="15">
      <c r="B61" s="7" t="s">
        <v>52</v>
      </c>
      <c r="C61" s="25">
        <f>SUM(C22:C59)</f>
        <v>10881513.3</v>
      </c>
      <c r="D61" s="8">
        <f>SUM(D22:D59)</f>
        <v>0.9999999999999997</v>
      </c>
      <c r="E61" s="9">
        <f>SUM(E22:E59)</f>
        <v>2697323.64</v>
      </c>
      <c r="F61" s="9">
        <f>SUM(F22:F59)</f>
        <v>1395</v>
      </c>
      <c r="G61" s="8">
        <f>SUM(G22:G59)</f>
        <v>211528.50000000006</v>
      </c>
      <c r="H61" s="8">
        <f>SUM(H22:H30,H33:H36,H38:H45,H47:H57,H59)</f>
        <v>352180.76999999984</v>
      </c>
      <c r="I61" s="8">
        <f>SUM(I22:I30,I33:I36,I38:I45,I47:I57,I59)</f>
        <v>120899.99999999999</v>
      </c>
      <c r="J61" s="8">
        <f>SUM(J22:J30,J33:J36,J38:J45,J47:J57,J59)</f>
        <v>230943.17999999993</v>
      </c>
      <c r="K61" s="8">
        <f>SUM(K22:K59)</f>
        <v>4650.000000000002</v>
      </c>
      <c r="L61" s="8">
        <f>SUM(L22:L59)</f>
        <v>112473.60479999999</v>
      </c>
      <c r="M61" s="9">
        <f>SUM(M22:M60)</f>
        <v>3731394.6948000006</v>
      </c>
      <c r="N61" s="5"/>
      <c r="O61" s="5"/>
      <c r="P61" s="6"/>
    </row>
    <row r="62" spans="2:16" ht="15">
      <c r="B62" s="7"/>
      <c r="C62" s="7"/>
      <c r="D62" s="8"/>
      <c r="E62" s="9"/>
      <c r="F62" s="9"/>
      <c r="G62" s="8"/>
      <c r="H62" s="8"/>
      <c r="I62" s="8"/>
      <c r="J62" s="8"/>
      <c r="K62" s="8"/>
      <c r="L62" s="8"/>
      <c r="M62" s="9"/>
      <c r="N62" s="5"/>
      <c r="O62" s="5"/>
      <c r="P62" s="6"/>
    </row>
    <row r="63" spans="2:16" ht="15">
      <c r="B63" s="10" t="s">
        <v>64</v>
      </c>
      <c r="C63" s="6" t="s">
        <v>62</v>
      </c>
      <c r="D63" s="6" t="s">
        <v>63</v>
      </c>
      <c r="E63" s="6">
        <f>C10*0.05</f>
        <v>145017.4</v>
      </c>
      <c r="F63" s="6">
        <f>C11*0.05</f>
        <v>75</v>
      </c>
      <c r="G63" s="6">
        <f>C12*0.05</f>
        <v>11372.5</v>
      </c>
      <c r="H63" s="6">
        <f>C13*0.05</f>
        <v>18934.45</v>
      </c>
      <c r="I63" s="6">
        <f>C14*0.05</f>
        <v>6500</v>
      </c>
      <c r="J63" s="6">
        <f>C15*0.05</f>
        <v>12416.300000000001</v>
      </c>
      <c r="K63" s="6">
        <f>C16*0.05</f>
        <v>250</v>
      </c>
      <c r="L63" s="6">
        <f>C17*0.05</f>
        <v>6046.968000000001</v>
      </c>
      <c r="M63" s="6">
        <f>E63+G63+H63+I63+J63+F63+K63+L63</f>
        <v>200612.618</v>
      </c>
      <c r="N63" s="6">
        <v>1000</v>
      </c>
      <c r="O63" s="5">
        <f t="shared" si="10"/>
        <v>200.612618</v>
      </c>
      <c r="P63" s="6" t="s">
        <v>91</v>
      </c>
    </row>
    <row r="64" spans="2:16" ht="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5">
      <c r="B65" s="12" t="s">
        <v>73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 ht="15">
      <c r="B66" s="10" t="s">
        <v>67</v>
      </c>
      <c r="C66" s="23">
        <v>4215.35</v>
      </c>
      <c r="D66" s="5">
        <f aca="true" t="shared" si="29" ref="D66:D92">C66/$C$94</f>
        <v>0.08112092692256027</v>
      </c>
      <c r="E66" s="5">
        <f>$C$10*0.02*D66</f>
        <v>4705.578363159877</v>
      </c>
      <c r="F66" s="5">
        <f>$C$11*0.02*D66</f>
        <v>2.433627807676808</v>
      </c>
      <c r="G66" s="5">
        <f>$C$12*0.02*D66</f>
        <v>369.0190965707267</v>
      </c>
      <c r="H66" s="5">
        <f>$C$13*0.02*D66</f>
        <v>614.3920539075485</v>
      </c>
      <c r="I66" s="5">
        <f>$C$14*0.02*D66</f>
        <v>210.9144099986567</v>
      </c>
      <c r="J66" s="5">
        <f>$C$15*0.02*D66</f>
        <v>402.88870597943406</v>
      </c>
      <c r="K66" s="5">
        <f>$C$16*0.02*D66</f>
        <v>8.112092692256027</v>
      </c>
      <c r="L66" s="5">
        <f>$C$17*0.02*D66</f>
        <v>196.2142596924242</v>
      </c>
      <c r="M66" s="5">
        <f>SUM(E66:L66)</f>
        <v>6509.552609808601</v>
      </c>
      <c r="N66" s="18">
        <v>43</v>
      </c>
      <c r="O66" s="5">
        <f>M66/N66</f>
        <v>151.38494441415352</v>
      </c>
      <c r="P66" s="6" t="s">
        <v>65</v>
      </c>
    </row>
    <row r="67" spans="2:16" ht="15">
      <c r="B67" s="10" t="s">
        <v>66</v>
      </c>
      <c r="C67" s="23">
        <v>6800</v>
      </c>
      <c r="D67" s="5">
        <f t="shared" si="29"/>
        <v>0.130860380057032</v>
      </c>
      <c r="E67" s="5">
        <f aca="true" t="shared" si="30" ref="E67:E92">$C$10*0.02*D67</f>
        <v>7590.812831553052</v>
      </c>
      <c r="F67" s="5">
        <f aca="true" t="shared" si="31" ref="F67:F92">$C$11*0.02*D67</f>
        <v>3.9258114017109595</v>
      </c>
      <c r="G67" s="5">
        <f aca="true" t="shared" si="32" ref="G67:G92">$C$12*0.02*D67</f>
        <v>595.2838688794385</v>
      </c>
      <c r="H67" s="5">
        <f aca="true" t="shared" si="33" ref="H67:H92">$C$13*0.02*D67</f>
        <v>991.1077292683477</v>
      </c>
      <c r="I67" s="5">
        <f aca="true" t="shared" si="34" ref="I67:I92">$C$14*0.02*D67</f>
        <v>340.23698814828316</v>
      </c>
      <c r="J67" s="5">
        <f aca="true" t="shared" si="35" ref="J67:J92">$C$15*0.02*D67</f>
        <v>649.9206947608506</v>
      </c>
      <c r="K67" s="5">
        <f aca="true" t="shared" si="36" ref="K67:K92">$C$16*0.02*D67</f>
        <v>13.086038005703198</v>
      </c>
      <c r="L67" s="5">
        <f aca="true" t="shared" si="37" ref="L67:L92">$C$17*0.02*D67</f>
        <v>316.52341226908425</v>
      </c>
      <c r="M67" s="5">
        <f aca="true" t="shared" si="38" ref="M67:M92">SUM(E67:L67)</f>
        <v>10500.897374286471</v>
      </c>
      <c r="N67" s="18">
        <v>52</v>
      </c>
      <c r="O67" s="5">
        <f aca="true" t="shared" si="39" ref="O67:O91">M67/N67</f>
        <v>201.94033412089368</v>
      </c>
      <c r="P67" s="6" t="s">
        <v>91</v>
      </c>
    </row>
    <row r="68" spans="2:16" ht="15">
      <c r="B68" s="10" t="s">
        <v>68</v>
      </c>
      <c r="C68" s="23">
        <v>492.69</v>
      </c>
      <c r="D68" s="5">
        <f t="shared" si="29"/>
        <v>0.009481411860338101</v>
      </c>
      <c r="E68" s="5">
        <f t="shared" si="30"/>
        <v>549.9878785261578</v>
      </c>
      <c r="F68" s="5">
        <f t="shared" si="31"/>
        <v>0.28444235581014304</v>
      </c>
      <c r="G68" s="5">
        <f t="shared" si="32"/>
        <v>43.13094255267802</v>
      </c>
      <c r="H68" s="5">
        <f t="shared" si="33"/>
        <v>71.8101275195915</v>
      </c>
      <c r="I68" s="5">
        <f t="shared" si="34"/>
        <v>24.651670836879063</v>
      </c>
      <c r="J68" s="5">
        <f t="shared" si="35"/>
        <v>47.089621632606395</v>
      </c>
      <c r="K68" s="5">
        <f t="shared" si="36"/>
        <v>0.9481411860338101</v>
      </c>
      <c r="L68" s="5">
        <f t="shared" si="37"/>
        <v>22.93351764571399</v>
      </c>
      <c r="M68" s="5">
        <f t="shared" si="38"/>
        <v>760.8363422554706</v>
      </c>
      <c r="N68" s="18">
        <v>15</v>
      </c>
      <c r="O68" s="5">
        <f t="shared" si="39"/>
        <v>50.72242281703138</v>
      </c>
      <c r="P68" s="6" t="s">
        <v>28</v>
      </c>
    </row>
    <row r="69" spans="2:16" ht="15">
      <c r="B69" s="10" t="s">
        <v>69</v>
      </c>
      <c r="C69" s="23">
        <v>1032.12</v>
      </c>
      <c r="D69" s="5">
        <f t="shared" si="29"/>
        <v>0.01986229639183292</v>
      </c>
      <c r="E69" s="5">
        <f t="shared" si="30"/>
        <v>1152.1514323091965</v>
      </c>
      <c r="F69" s="5">
        <f t="shared" si="31"/>
        <v>0.5958688917549876</v>
      </c>
      <c r="G69" s="5">
        <f t="shared" si="32"/>
        <v>90.35358628644795</v>
      </c>
      <c r="H69" s="5">
        <f t="shared" si="33"/>
        <v>150.43266316653632</v>
      </c>
      <c r="I69" s="5">
        <f t="shared" si="34"/>
        <v>51.64197061876559</v>
      </c>
      <c r="J69" s="5">
        <f t="shared" si="35"/>
        <v>98.64649227596604</v>
      </c>
      <c r="K69" s="5">
        <f t="shared" si="36"/>
        <v>1.9862296391832919</v>
      </c>
      <c r="L69" s="5">
        <f t="shared" si="37"/>
        <v>48.04266827517165</v>
      </c>
      <c r="M69" s="5">
        <f t="shared" si="38"/>
        <v>1593.850911463022</v>
      </c>
      <c r="N69" s="18">
        <v>20</v>
      </c>
      <c r="O69" s="5">
        <f t="shared" si="39"/>
        <v>79.6925455731511</v>
      </c>
      <c r="P69" s="6" t="s">
        <v>3</v>
      </c>
    </row>
    <row r="70" spans="2:16" ht="15">
      <c r="B70" s="10" t="s">
        <v>70</v>
      </c>
      <c r="C70" s="23">
        <v>3960</v>
      </c>
      <c r="D70" s="5">
        <f t="shared" si="29"/>
        <v>0.07620692720968333</v>
      </c>
      <c r="E70" s="5">
        <f t="shared" si="30"/>
        <v>4420.532178375012</v>
      </c>
      <c r="F70" s="5">
        <f t="shared" si="31"/>
        <v>2.2862078162905</v>
      </c>
      <c r="G70" s="5">
        <f t="shared" si="32"/>
        <v>346.6653118768495</v>
      </c>
      <c r="H70" s="5">
        <f t="shared" si="33"/>
        <v>577.1745011621554</v>
      </c>
      <c r="I70" s="5">
        <f t="shared" si="34"/>
        <v>198.13801074517667</v>
      </c>
      <c r="J70" s="5">
        <f t="shared" si="35"/>
        <v>378.4832281254365</v>
      </c>
      <c r="K70" s="5">
        <f t="shared" si="36"/>
        <v>7.620692720968333</v>
      </c>
      <c r="L70" s="5">
        <f t="shared" si="37"/>
        <v>184.32834008611377</v>
      </c>
      <c r="M70" s="5">
        <f t="shared" si="38"/>
        <v>6115.228470908003</v>
      </c>
      <c r="N70" s="18">
        <v>60</v>
      </c>
      <c r="O70" s="5">
        <f t="shared" si="39"/>
        <v>101.92047451513339</v>
      </c>
      <c r="P70" s="6" t="s">
        <v>92</v>
      </c>
    </row>
    <row r="71" spans="2:16" ht="15">
      <c r="B71" s="10" t="s">
        <v>71</v>
      </c>
      <c r="C71" s="23">
        <v>6968.49</v>
      </c>
      <c r="D71" s="5">
        <f t="shared" si="29"/>
        <v>0.13410283085641572</v>
      </c>
      <c r="E71" s="5">
        <f t="shared" si="30"/>
        <v>7778.897545374873</v>
      </c>
      <c r="F71" s="5">
        <f t="shared" si="31"/>
        <v>4.023084925692472</v>
      </c>
      <c r="G71" s="5">
        <f t="shared" si="32"/>
        <v>610.0337775658351</v>
      </c>
      <c r="H71" s="5">
        <f t="shared" si="33"/>
        <v>1015.6653382837043</v>
      </c>
      <c r="I71" s="5">
        <f t="shared" si="34"/>
        <v>348.6673602266809</v>
      </c>
      <c r="J71" s="5">
        <f t="shared" si="35"/>
        <v>666.0243915050058</v>
      </c>
      <c r="K71" s="5">
        <f t="shared" si="36"/>
        <v>13.410283085641572</v>
      </c>
      <c r="L71" s="5">
        <f t="shared" si="37"/>
        <v>324.3662107592634</v>
      </c>
      <c r="M71" s="5">
        <f t="shared" si="38"/>
        <v>10761.087991726694</v>
      </c>
      <c r="N71" s="18">
        <v>90</v>
      </c>
      <c r="O71" s="5">
        <f t="shared" si="39"/>
        <v>119.56764435251883</v>
      </c>
      <c r="P71" s="6" t="s">
        <v>93</v>
      </c>
    </row>
    <row r="72" spans="2:16" ht="15">
      <c r="B72" s="10" t="s">
        <v>72</v>
      </c>
      <c r="C72" s="23">
        <v>10485.94</v>
      </c>
      <c r="D72" s="5">
        <f t="shared" si="29"/>
        <v>0.2017932490669462</v>
      </c>
      <c r="E72" s="5">
        <f t="shared" si="30"/>
        <v>11705.412926896386</v>
      </c>
      <c r="F72" s="5">
        <f t="shared" si="31"/>
        <v>6.0537974720083865</v>
      </c>
      <c r="G72" s="5">
        <f t="shared" si="32"/>
        <v>917.9574900055383</v>
      </c>
      <c r="H72" s="5">
        <f t="shared" si="33"/>
        <v>1528.3376739182559</v>
      </c>
      <c r="I72" s="5">
        <f t="shared" si="34"/>
        <v>524.6624475740601</v>
      </c>
      <c r="J72" s="5">
        <f t="shared" si="35"/>
        <v>1002.2102073559697</v>
      </c>
      <c r="K72" s="5">
        <f t="shared" si="36"/>
        <v>20.17932490669462</v>
      </c>
      <c r="L72" s="5">
        <f t="shared" si="37"/>
        <v>488.09492788954145</v>
      </c>
      <c r="M72" s="5">
        <f t="shared" si="38"/>
        <v>16192.908796018455</v>
      </c>
      <c r="N72" s="18">
        <v>125</v>
      </c>
      <c r="O72" s="5">
        <f t="shared" si="39"/>
        <v>129.54327036814763</v>
      </c>
      <c r="P72" s="6" t="s">
        <v>94</v>
      </c>
    </row>
    <row r="73" spans="2:16" ht="15">
      <c r="B73" s="4" t="s">
        <v>112</v>
      </c>
      <c r="C73" s="23">
        <v>610.46</v>
      </c>
      <c r="D73" s="5">
        <f t="shared" si="29"/>
        <v>0.01174779817788467</v>
      </c>
      <c r="E73" s="5">
        <f t="shared" si="30"/>
        <v>681.454058992629</v>
      </c>
      <c r="F73" s="5">
        <f t="shared" si="31"/>
        <v>0.3524339453365401</v>
      </c>
      <c r="G73" s="5">
        <f t="shared" si="32"/>
        <v>53.44073391119737</v>
      </c>
      <c r="H73" s="5">
        <f t="shared" si="33"/>
        <v>88.97523888369936</v>
      </c>
      <c r="I73" s="5">
        <f t="shared" si="34"/>
        <v>30.544275262500143</v>
      </c>
      <c r="J73" s="5">
        <f t="shared" si="35"/>
        <v>58.34567460642778</v>
      </c>
      <c r="K73" s="5">
        <f t="shared" si="36"/>
        <v>1.1747798177884672</v>
      </c>
      <c r="L73" s="5">
        <f t="shared" si="37"/>
        <v>28.41542386085077</v>
      </c>
      <c r="M73" s="5">
        <f t="shared" si="38"/>
        <v>942.7026192804295</v>
      </c>
      <c r="N73" s="18">
        <v>12</v>
      </c>
      <c r="O73" s="5">
        <f t="shared" si="39"/>
        <v>78.55855160670247</v>
      </c>
      <c r="P73" s="6" t="s">
        <v>3</v>
      </c>
    </row>
    <row r="74" spans="2:16" ht="15">
      <c r="B74" s="4" t="s">
        <v>113</v>
      </c>
      <c r="C74" s="23">
        <v>1529.08</v>
      </c>
      <c r="D74" s="5">
        <f t="shared" si="29"/>
        <v>0.029425880873177424</v>
      </c>
      <c r="E74" s="5">
        <f t="shared" si="30"/>
        <v>1706.9058947751678</v>
      </c>
      <c r="F74" s="5">
        <f t="shared" si="31"/>
        <v>0.8827764261953227</v>
      </c>
      <c r="G74" s="5">
        <f t="shared" si="32"/>
        <v>133.8583320920841</v>
      </c>
      <c r="H74" s="5">
        <f t="shared" si="33"/>
        <v>222.86514803965372</v>
      </c>
      <c r="I74" s="5">
        <f t="shared" si="34"/>
        <v>76.50729027026131</v>
      </c>
      <c r="J74" s="5">
        <f t="shared" si="35"/>
        <v>146.14422587425315</v>
      </c>
      <c r="K74" s="5">
        <f t="shared" si="36"/>
        <v>2.9425880873177426</v>
      </c>
      <c r="L74" s="5">
        <f t="shared" si="37"/>
        <v>71.17494400476639</v>
      </c>
      <c r="M74" s="5">
        <f t="shared" si="38"/>
        <v>2361.2811995696998</v>
      </c>
      <c r="N74" s="18">
        <v>23</v>
      </c>
      <c r="O74" s="5">
        <f t="shared" si="39"/>
        <v>102.6643999812913</v>
      </c>
      <c r="P74" s="6" t="s">
        <v>92</v>
      </c>
    </row>
    <row r="75" spans="2:16" ht="15">
      <c r="B75" s="4" t="s">
        <v>114</v>
      </c>
      <c r="C75" s="23">
        <v>2050</v>
      </c>
      <c r="D75" s="5">
        <f t="shared" si="29"/>
        <v>0.03945055575248759</v>
      </c>
      <c r="E75" s="5">
        <f t="shared" si="30"/>
        <v>2288.4068095123175</v>
      </c>
      <c r="F75" s="5">
        <f t="shared" si="31"/>
        <v>1.1835166725746278</v>
      </c>
      <c r="G75" s="5">
        <f t="shared" si="32"/>
        <v>179.46057811806605</v>
      </c>
      <c r="H75" s="5">
        <f t="shared" si="33"/>
        <v>298.78983014707546</v>
      </c>
      <c r="I75" s="5">
        <f t="shared" si="34"/>
        <v>102.57144495646774</v>
      </c>
      <c r="J75" s="5">
        <f t="shared" si="35"/>
        <v>195.9319741558447</v>
      </c>
      <c r="K75" s="5">
        <f t="shared" si="36"/>
        <v>3.9450555752487593</v>
      </c>
      <c r="L75" s="5">
        <f t="shared" si="37"/>
        <v>95.42249928700336</v>
      </c>
      <c r="M75" s="5">
        <f t="shared" si="38"/>
        <v>3165.7117084245983</v>
      </c>
      <c r="N75" s="18">
        <v>26</v>
      </c>
      <c r="O75" s="5">
        <f t="shared" si="39"/>
        <v>121.75814263171532</v>
      </c>
      <c r="P75" s="6" t="s">
        <v>93</v>
      </c>
    </row>
    <row r="76" spans="2:16" ht="15">
      <c r="B76" s="4" t="s">
        <v>75</v>
      </c>
      <c r="C76" s="23">
        <v>440</v>
      </c>
      <c r="D76" s="5">
        <f t="shared" si="29"/>
        <v>0.008467436356631483</v>
      </c>
      <c r="E76" s="5">
        <f t="shared" si="30"/>
        <v>491.1702420416682</v>
      </c>
      <c r="F76" s="5">
        <f t="shared" si="31"/>
        <v>0.25402309069894446</v>
      </c>
      <c r="G76" s="5">
        <f t="shared" si="32"/>
        <v>38.51836798631662</v>
      </c>
      <c r="H76" s="5">
        <f t="shared" si="33"/>
        <v>64.1305001291284</v>
      </c>
      <c r="I76" s="5">
        <f t="shared" si="34"/>
        <v>22.015334527241855</v>
      </c>
      <c r="J76" s="5">
        <f t="shared" si="35"/>
        <v>42.0536920139374</v>
      </c>
      <c r="K76" s="5">
        <f t="shared" si="36"/>
        <v>0.8467436356631484</v>
      </c>
      <c r="L76" s="5">
        <f t="shared" si="37"/>
        <v>20.48092667623487</v>
      </c>
      <c r="M76" s="5">
        <f t="shared" si="38"/>
        <v>679.4698301008895</v>
      </c>
      <c r="N76" s="18">
        <v>17</v>
      </c>
      <c r="O76" s="5">
        <f t="shared" si="39"/>
        <v>39.96881353534644</v>
      </c>
      <c r="P76" s="6" t="s">
        <v>10</v>
      </c>
    </row>
    <row r="77" spans="2:16" ht="15">
      <c r="B77" s="4" t="s">
        <v>74</v>
      </c>
      <c r="C77" s="23">
        <v>1461.75</v>
      </c>
      <c r="D77" s="5">
        <f t="shared" si="29"/>
        <v>0.02813017066887743</v>
      </c>
      <c r="E77" s="5">
        <f t="shared" si="30"/>
        <v>1631.7456847827461</v>
      </c>
      <c r="F77" s="5">
        <f t="shared" si="31"/>
        <v>0.8439051200663229</v>
      </c>
      <c r="G77" s="5">
        <f t="shared" si="32"/>
        <v>127.96414637272342</v>
      </c>
      <c r="H77" s="5">
        <f t="shared" si="33"/>
        <v>213.05172400853047</v>
      </c>
      <c r="I77" s="5">
        <f t="shared" si="34"/>
        <v>73.13844373908131</v>
      </c>
      <c r="J77" s="5">
        <f t="shared" si="35"/>
        <v>139.70905523039315</v>
      </c>
      <c r="K77" s="5">
        <f t="shared" si="36"/>
        <v>2.813017066887743</v>
      </c>
      <c r="L77" s="5">
        <f t="shared" si="37"/>
        <v>68.04089674769617</v>
      </c>
      <c r="M77" s="5">
        <f t="shared" si="38"/>
        <v>2257.306873068125</v>
      </c>
      <c r="N77" s="18">
        <v>37</v>
      </c>
      <c r="O77" s="5">
        <f t="shared" si="39"/>
        <v>61.008293866706076</v>
      </c>
      <c r="P77" s="6" t="s">
        <v>7</v>
      </c>
    </row>
    <row r="78" spans="2:16" ht="15">
      <c r="B78" s="4" t="s">
        <v>76</v>
      </c>
      <c r="C78" s="23">
        <v>272.14</v>
      </c>
      <c r="D78" s="5">
        <f t="shared" si="29"/>
        <v>0.005237109386576571</v>
      </c>
      <c r="E78" s="5">
        <f t="shared" si="30"/>
        <v>303.7887947027717</v>
      </c>
      <c r="F78" s="5">
        <f t="shared" si="31"/>
        <v>0.15711328159729715</v>
      </c>
      <c r="G78" s="5">
        <f t="shared" si="32"/>
        <v>23.823610599536824</v>
      </c>
      <c r="H78" s="5">
        <f t="shared" si="33"/>
        <v>39.6647143298659</v>
      </c>
      <c r="I78" s="5">
        <f t="shared" si="34"/>
        <v>13.616484405099085</v>
      </c>
      <c r="J78" s="5">
        <f t="shared" si="35"/>
        <v>26.010208510620274</v>
      </c>
      <c r="K78" s="5">
        <f t="shared" si="36"/>
        <v>0.5237109386576572</v>
      </c>
      <c r="L78" s="5">
        <f t="shared" si="37"/>
        <v>12.667453149251264</v>
      </c>
      <c r="M78" s="5">
        <f t="shared" si="38"/>
        <v>420.2520899174</v>
      </c>
      <c r="N78" s="18">
        <v>85</v>
      </c>
      <c r="O78" s="5">
        <f t="shared" si="39"/>
        <v>4.944142234322353</v>
      </c>
      <c r="P78" s="6" t="s">
        <v>95</v>
      </c>
    </row>
    <row r="79" spans="2:16" ht="15">
      <c r="B79" s="4" t="s">
        <v>77</v>
      </c>
      <c r="C79" s="23">
        <v>378.91</v>
      </c>
      <c r="D79" s="5">
        <f t="shared" si="29"/>
        <v>0.007291809795207353</v>
      </c>
      <c r="E79" s="5">
        <f t="shared" si="30"/>
        <v>422.9757191182011</v>
      </c>
      <c r="F79" s="5">
        <f t="shared" si="31"/>
        <v>0.21875429385622058</v>
      </c>
      <c r="G79" s="5">
        <f t="shared" si="32"/>
        <v>33.170442758398245</v>
      </c>
      <c r="H79" s="5">
        <f t="shared" si="33"/>
        <v>55.226563190745544</v>
      </c>
      <c r="I79" s="5">
        <f t="shared" si="34"/>
        <v>18.95870546753912</v>
      </c>
      <c r="J79" s="5">
        <f t="shared" si="35"/>
        <v>36.214919184093226</v>
      </c>
      <c r="K79" s="5">
        <f t="shared" si="36"/>
        <v>0.7291809795207352</v>
      </c>
      <c r="L79" s="5">
        <f t="shared" si="37"/>
        <v>17.637336197482167</v>
      </c>
      <c r="M79" s="5">
        <f t="shared" si="38"/>
        <v>585.1316211898362</v>
      </c>
      <c r="N79" s="18">
        <v>39</v>
      </c>
      <c r="O79" s="5">
        <f t="shared" si="39"/>
        <v>15.003374902303493</v>
      </c>
      <c r="P79" s="6" t="s">
        <v>21</v>
      </c>
    </row>
    <row r="80" spans="2:16" ht="15">
      <c r="B80" s="4" t="s">
        <v>78</v>
      </c>
      <c r="C80" s="23">
        <v>606.89</v>
      </c>
      <c r="D80" s="5">
        <f t="shared" si="29"/>
        <v>0.011679096478354727</v>
      </c>
      <c r="E80" s="5">
        <f t="shared" si="30"/>
        <v>677.4688822560635</v>
      </c>
      <c r="F80" s="5">
        <f t="shared" si="31"/>
        <v>0.35037289435064184</v>
      </c>
      <c r="G80" s="5">
        <f t="shared" si="32"/>
        <v>53.128209880035655</v>
      </c>
      <c r="H80" s="5">
        <f t="shared" si="33"/>
        <v>88.45490732583346</v>
      </c>
      <c r="I80" s="5">
        <f t="shared" si="34"/>
        <v>30.365650843722293</v>
      </c>
      <c r="J80" s="5">
        <f t="shared" si="35"/>
        <v>58.00446624167832</v>
      </c>
      <c r="K80" s="5">
        <f t="shared" si="36"/>
        <v>1.1679096478354727</v>
      </c>
      <c r="L80" s="5">
        <f t="shared" si="37"/>
        <v>28.249249069409494</v>
      </c>
      <c r="M80" s="5">
        <f t="shared" si="38"/>
        <v>937.1896481589289</v>
      </c>
      <c r="N80" s="18">
        <v>38</v>
      </c>
      <c r="O80" s="5">
        <f t="shared" si="39"/>
        <v>24.66288547786655</v>
      </c>
      <c r="P80" s="6" t="s">
        <v>30</v>
      </c>
    </row>
    <row r="81" spans="2:16" ht="30">
      <c r="B81" s="13" t="s">
        <v>79</v>
      </c>
      <c r="C81" s="23">
        <v>1217.14</v>
      </c>
      <c r="D81" s="5">
        <f t="shared" si="29"/>
        <v>0.023422853379796462</v>
      </c>
      <c r="E81" s="5">
        <f t="shared" si="30"/>
        <v>1358.688519087718</v>
      </c>
      <c r="F81" s="5">
        <f t="shared" si="31"/>
        <v>0.7026856013938939</v>
      </c>
      <c r="G81" s="5">
        <f t="shared" si="32"/>
        <v>106.55056002469411</v>
      </c>
      <c r="H81" s="5">
        <f t="shared" si="33"/>
        <v>177.39953847083484</v>
      </c>
      <c r="I81" s="5">
        <f t="shared" si="34"/>
        <v>60.8994187874708</v>
      </c>
      <c r="J81" s="5">
        <f t="shared" si="35"/>
        <v>116.33006976782673</v>
      </c>
      <c r="K81" s="5">
        <f t="shared" si="36"/>
        <v>2.342285337979646</v>
      </c>
      <c r="L81" s="5">
        <f t="shared" si="37"/>
        <v>56.65489794252843</v>
      </c>
      <c r="M81" s="5">
        <f t="shared" si="38"/>
        <v>1879.567975020446</v>
      </c>
      <c r="N81" s="18">
        <v>53</v>
      </c>
      <c r="O81" s="5">
        <f t="shared" si="39"/>
        <v>35.46354669849898</v>
      </c>
      <c r="P81" s="6" t="s">
        <v>5</v>
      </c>
    </row>
    <row r="82" spans="2:16" ht="15">
      <c r="B82" s="4" t="s">
        <v>80</v>
      </c>
      <c r="C82" s="23">
        <v>2011.43</v>
      </c>
      <c r="D82" s="5">
        <f t="shared" si="29"/>
        <v>0.03870830797913469</v>
      </c>
      <c r="E82" s="5">
        <f t="shared" si="30"/>
        <v>2245.3512726133467</v>
      </c>
      <c r="F82" s="5">
        <f t="shared" si="31"/>
        <v>1.1612492393740406</v>
      </c>
      <c r="G82" s="5">
        <f t="shared" si="32"/>
        <v>176.0840929970837</v>
      </c>
      <c r="H82" s="5">
        <f t="shared" si="33"/>
        <v>293.1682088062107</v>
      </c>
      <c r="I82" s="5">
        <f t="shared" si="34"/>
        <v>100.64160074575018</v>
      </c>
      <c r="J82" s="5">
        <f t="shared" si="35"/>
        <v>192.24558574453204</v>
      </c>
      <c r="K82" s="5">
        <f t="shared" si="36"/>
        <v>3.870830797913469</v>
      </c>
      <c r="L82" s="5">
        <f t="shared" si="37"/>
        <v>93.62715987358885</v>
      </c>
      <c r="M82" s="5">
        <f t="shared" si="38"/>
        <v>3106.1500008178</v>
      </c>
      <c r="N82" s="6">
        <v>77</v>
      </c>
      <c r="O82" s="5">
        <f t="shared" si="39"/>
        <v>40.339610400231166</v>
      </c>
      <c r="P82" s="6" t="s">
        <v>10</v>
      </c>
    </row>
    <row r="83" spans="2:16" ht="15">
      <c r="B83" s="4" t="s">
        <v>81</v>
      </c>
      <c r="C83" s="23">
        <v>470</v>
      </c>
      <c r="D83" s="5">
        <f t="shared" si="29"/>
        <v>0.009044761562765447</v>
      </c>
      <c r="E83" s="5">
        <f t="shared" si="30"/>
        <v>524.6591221808728</v>
      </c>
      <c r="F83" s="5">
        <f t="shared" si="31"/>
        <v>0.2713428468829634</v>
      </c>
      <c r="G83" s="5">
        <f t="shared" si="32"/>
        <v>41.144620349020016</v>
      </c>
      <c r="H83" s="5">
        <f t="shared" si="33"/>
        <v>68.50303422884168</v>
      </c>
      <c r="I83" s="5">
        <f t="shared" si="34"/>
        <v>23.516380063190162</v>
      </c>
      <c r="J83" s="5">
        <f t="shared" si="35"/>
        <v>44.920989196705854</v>
      </c>
      <c r="K83" s="5">
        <f t="shared" si="36"/>
        <v>0.9044761562765448</v>
      </c>
      <c r="L83" s="5">
        <f t="shared" si="37"/>
        <v>21.877353495069062</v>
      </c>
      <c r="M83" s="5">
        <f t="shared" si="38"/>
        <v>725.797318516859</v>
      </c>
      <c r="N83" s="6">
        <v>35</v>
      </c>
      <c r="O83" s="5">
        <f t="shared" si="39"/>
        <v>20.73706624333883</v>
      </c>
      <c r="P83" s="6" t="s">
        <v>96</v>
      </c>
    </row>
    <row r="84" spans="2:16" ht="15">
      <c r="B84" s="4" t="s">
        <v>82</v>
      </c>
      <c r="C84" s="23">
        <v>780</v>
      </c>
      <c r="D84" s="5">
        <f t="shared" si="29"/>
        <v>0.015010455359483083</v>
      </c>
      <c r="E84" s="5">
        <f t="shared" si="30"/>
        <v>870.7108836193208</v>
      </c>
      <c r="F84" s="5">
        <f t="shared" si="31"/>
        <v>0.4503136607844925</v>
      </c>
      <c r="G84" s="5">
        <f t="shared" si="32"/>
        <v>68.28256143028854</v>
      </c>
      <c r="H84" s="5">
        <f t="shared" si="33"/>
        <v>113.68588659254578</v>
      </c>
      <c r="I84" s="5">
        <f t="shared" si="34"/>
        <v>39.027183934656016</v>
      </c>
      <c r="J84" s="5">
        <f t="shared" si="35"/>
        <v>74.54972675197993</v>
      </c>
      <c r="K84" s="5">
        <f t="shared" si="36"/>
        <v>1.5010455359483084</v>
      </c>
      <c r="L84" s="5">
        <f t="shared" si="37"/>
        <v>36.30709728968908</v>
      </c>
      <c r="M84" s="5">
        <f t="shared" si="38"/>
        <v>1204.514698815213</v>
      </c>
      <c r="N84" s="6">
        <v>40</v>
      </c>
      <c r="O84" s="5">
        <f t="shared" si="39"/>
        <v>30.112867470380326</v>
      </c>
      <c r="P84" s="6" t="s">
        <v>97</v>
      </c>
    </row>
    <row r="85" spans="2:16" ht="15">
      <c r="B85" s="4" t="s">
        <v>83</v>
      </c>
      <c r="C85" s="23">
        <v>1090</v>
      </c>
      <c r="D85" s="5">
        <f t="shared" si="29"/>
        <v>0.02097614915620072</v>
      </c>
      <c r="E85" s="5">
        <f t="shared" si="30"/>
        <v>1216.7626450577689</v>
      </c>
      <c r="F85" s="5">
        <f t="shared" si="31"/>
        <v>0.6292844746860216</v>
      </c>
      <c r="G85" s="5">
        <f t="shared" si="32"/>
        <v>95.42050251155707</v>
      </c>
      <c r="H85" s="5">
        <f t="shared" si="33"/>
        <v>158.86873895624987</v>
      </c>
      <c r="I85" s="5">
        <f t="shared" si="34"/>
        <v>54.53798780612187</v>
      </c>
      <c r="J85" s="5">
        <f t="shared" si="35"/>
        <v>104.178464307254</v>
      </c>
      <c r="K85" s="5">
        <f t="shared" si="36"/>
        <v>2.097614915620072</v>
      </c>
      <c r="L85" s="5">
        <f t="shared" si="37"/>
        <v>50.736841084309106</v>
      </c>
      <c r="M85" s="5">
        <f t="shared" si="38"/>
        <v>1683.2320791135671</v>
      </c>
      <c r="N85" s="6">
        <v>48</v>
      </c>
      <c r="O85" s="5">
        <f t="shared" si="39"/>
        <v>35.067334981532646</v>
      </c>
      <c r="P85" s="6" t="s">
        <v>5</v>
      </c>
    </row>
    <row r="86" spans="2:16" ht="15">
      <c r="B86" s="14" t="s">
        <v>84</v>
      </c>
      <c r="C86" s="23">
        <v>403.21</v>
      </c>
      <c r="D86" s="5">
        <f t="shared" si="29"/>
        <v>0.007759443212175863</v>
      </c>
      <c r="E86" s="5">
        <f t="shared" si="30"/>
        <v>450.10171203095683</v>
      </c>
      <c r="F86" s="5">
        <f t="shared" si="31"/>
        <v>0.2327832963652759</v>
      </c>
      <c r="G86" s="5">
        <f t="shared" si="32"/>
        <v>35.297707172188005</v>
      </c>
      <c r="H86" s="5">
        <f t="shared" si="33"/>
        <v>58.768315811513304</v>
      </c>
      <c r="I86" s="5">
        <f t="shared" si="34"/>
        <v>20.174552351657244</v>
      </c>
      <c r="J86" s="5">
        <f t="shared" si="35"/>
        <v>38.53742990213567</v>
      </c>
      <c r="K86" s="5">
        <f t="shared" si="36"/>
        <v>0.7759443212175863</v>
      </c>
      <c r="L86" s="5">
        <f t="shared" si="37"/>
        <v>18.768441920737864</v>
      </c>
      <c r="M86" s="5">
        <f t="shared" si="38"/>
        <v>622.6568868067716</v>
      </c>
      <c r="N86" s="6">
        <v>31</v>
      </c>
      <c r="O86" s="5">
        <f t="shared" si="39"/>
        <v>20.08570602602489</v>
      </c>
      <c r="P86" s="6" t="s">
        <v>96</v>
      </c>
    </row>
    <row r="87" spans="2:16" ht="15">
      <c r="B87" s="14" t="s">
        <v>85</v>
      </c>
      <c r="C87" s="23">
        <v>512.05</v>
      </c>
      <c r="D87" s="5">
        <f t="shared" si="29"/>
        <v>0.009853979060029886</v>
      </c>
      <c r="E87" s="5">
        <f t="shared" si="30"/>
        <v>571.5993691759912</v>
      </c>
      <c r="F87" s="5">
        <f t="shared" si="31"/>
        <v>0.2956193718008966</v>
      </c>
      <c r="G87" s="5">
        <f t="shared" si="32"/>
        <v>44.825750744075954</v>
      </c>
      <c r="H87" s="5">
        <f t="shared" si="33"/>
        <v>74.63186952527315</v>
      </c>
      <c r="I87" s="5">
        <f t="shared" si="34"/>
        <v>25.620345556077705</v>
      </c>
      <c r="J87" s="5">
        <f t="shared" si="35"/>
        <v>48.939984081219635</v>
      </c>
      <c r="K87" s="5">
        <f t="shared" si="36"/>
        <v>0.9853979060029886</v>
      </c>
      <c r="L87" s="5">
        <f t="shared" si="37"/>
        <v>23.83467841946832</v>
      </c>
      <c r="M87" s="5">
        <f t="shared" si="38"/>
        <v>790.7330147799099</v>
      </c>
      <c r="N87" s="6">
        <v>32</v>
      </c>
      <c r="O87" s="5">
        <f t="shared" si="39"/>
        <v>24.710406711872185</v>
      </c>
      <c r="P87" s="6" t="s">
        <v>30</v>
      </c>
    </row>
    <row r="88" spans="2:16" ht="15">
      <c r="B88" s="14" t="s">
        <v>86</v>
      </c>
      <c r="C88" s="23">
        <v>51.11</v>
      </c>
      <c r="D88" s="5">
        <f t="shared" si="29"/>
        <v>0.0009835697095168978</v>
      </c>
      <c r="E88" s="5">
        <f t="shared" si="30"/>
        <v>57.05388879715831</v>
      </c>
      <c r="F88" s="5">
        <f t="shared" si="31"/>
        <v>0.029507091285506933</v>
      </c>
      <c r="G88" s="5">
        <f t="shared" si="32"/>
        <v>4.474258608592368</v>
      </c>
      <c r="H88" s="5">
        <f t="shared" si="33"/>
        <v>7.44934059454489</v>
      </c>
      <c r="I88" s="5">
        <f t="shared" si="34"/>
        <v>2.557281244743934</v>
      </c>
      <c r="J88" s="5">
        <f t="shared" si="35"/>
        <v>4.884918633709864</v>
      </c>
      <c r="K88" s="5">
        <f t="shared" si="36"/>
        <v>0.09835697095168978</v>
      </c>
      <c r="L88" s="5">
        <f t="shared" si="37"/>
        <v>2.379045823687191</v>
      </c>
      <c r="M88" s="5">
        <f t="shared" si="38"/>
        <v>78.92659776467374</v>
      </c>
      <c r="N88" s="6">
        <v>5</v>
      </c>
      <c r="O88" s="5">
        <f t="shared" si="39"/>
        <v>15.785319552934748</v>
      </c>
      <c r="P88" s="6" t="s">
        <v>21</v>
      </c>
    </row>
    <row r="89" spans="2:16" ht="15">
      <c r="B89" s="14" t="s">
        <v>87</v>
      </c>
      <c r="C89" s="23">
        <v>210</v>
      </c>
      <c r="D89" s="5">
        <f t="shared" si="29"/>
        <v>0.004041276442937753</v>
      </c>
      <c r="E89" s="5">
        <f t="shared" si="30"/>
        <v>234.42216097443253</v>
      </c>
      <c r="F89" s="5">
        <f t="shared" si="31"/>
        <v>0.1212382932881326</v>
      </c>
      <c r="G89" s="5">
        <f t="shared" si="32"/>
        <v>18.38376653892384</v>
      </c>
      <c r="H89" s="5">
        <f t="shared" si="33"/>
        <v>30.607738697993096</v>
      </c>
      <c r="I89" s="5">
        <f t="shared" si="34"/>
        <v>10.507318751638158</v>
      </c>
      <c r="J89" s="5">
        <f t="shared" si="35"/>
        <v>20.071080279379213</v>
      </c>
      <c r="K89" s="5">
        <f t="shared" si="36"/>
        <v>0.40412764429377535</v>
      </c>
      <c r="L89" s="5">
        <f t="shared" si="37"/>
        <v>9.774987731839369</v>
      </c>
      <c r="M89" s="5">
        <f t="shared" si="38"/>
        <v>324.2924189117881</v>
      </c>
      <c r="N89" s="6">
        <v>15</v>
      </c>
      <c r="O89" s="5">
        <f t="shared" si="39"/>
        <v>21.619494594119207</v>
      </c>
      <c r="P89" s="6" t="s">
        <v>96</v>
      </c>
    </row>
    <row r="90" spans="2:16" ht="15">
      <c r="B90" s="14" t="s">
        <v>88</v>
      </c>
      <c r="C90" s="23">
        <v>611</v>
      </c>
      <c r="D90" s="5">
        <f t="shared" si="29"/>
        <v>0.01175819003159508</v>
      </c>
      <c r="E90" s="5">
        <f t="shared" si="30"/>
        <v>682.0568588351346</v>
      </c>
      <c r="F90" s="5">
        <f t="shared" si="31"/>
        <v>0.3527457009478524</v>
      </c>
      <c r="G90" s="5">
        <f t="shared" si="32"/>
        <v>53.48800645372602</v>
      </c>
      <c r="H90" s="5">
        <f t="shared" si="33"/>
        <v>89.05394449749419</v>
      </c>
      <c r="I90" s="5">
        <f t="shared" si="34"/>
        <v>30.571294082147208</v>
      </c>
      <c r="J90" s="5">
        <f t="shared" si="35"/>
        <v>58.39728595571761</v>
      </c>
      <c r="K90" s="5">
        <f t="shared" si="36"/>
        <v>1.1758190031595082</v>
      </c>
      <c r="L90" s="5">
        <f t="shared" si="37"/>
        <v>28.440559543589778</v>
      </c>
      <c r="M90" s="5">
        <f t="shared" si="38"/>
        <v>943.5365140719167</v>
      </c>
      <c r="N90" s="6">
        <v>12</v>
      </c>
      <c r="O90" s="5">
        <f t="shared" si="39"/>
        <v>78.6280428393264</v>
      </c>
      <c r="P90" s="6" t="s">
        <v>3</v>
      </c>
    </row>
    <row r="91" spans="2:16" ht="15">
      <c r="B91" s="14" t="s">
        <v>89</v>
      </c>
      <c r="C91" s="23">
        <v>1043.15</v>
      </c>
      <c r="D91" s="5">
        <f t="shared" si="29"/>
        <v>0.020074559625954846</v>
      </c>
      <c r="E91" s="5">
        <f t="shared" si="30"/>
        <v>1164.4641772403777</v>
      </c>
      <c r="F91" s="5">
        <f t="shared" si="31"/>
        <v>0.6022367887786454</v>
      </c>
      <c r="G91" s="5">
        <f t="shared" si="32"/>
        <v>91.3191717384686</v>
      </c>
      <c r="H91" s="5">
        <f t="shared" si="33"/>
        <v>152.0402982038643</v>
      </c>
      <c r="I91" s="5">
        <f t="shared" si="34"/>
        <v>52.1938550274826</v>
      </c>
      <c r="J91" s="5">
        <f t="shared" si="35"/>
        <v>99.70070187349727</v>
      </c>
      <c r="K91" s="5">
        <f t="shared" si="36"/>
        <v>2.0074559625954844</v>
      </c>
      <c r="L91" s="5">
        <f t="shared" si="37"/>
        <v>48.55608786889637</v>
      </c>
      <c r="M91" s="5">
        <f t="shared" si="38"/>
        <v>1610.883984703961</v>
      </c>
      <c r="N91" s="6">
        <v>16</v>
      </c>
      <c r="O91" s="5">
        <f t="shared" si="39"/>
        <v>100.68024904399756</v>
      </c>
      <c r="P91" s="6" t="s">
        <v>92</v>
      </c>
    </row>
    <row r="92" spans="2:16" ht="15">
      <c r="B92" s="14" t="s">
        <v>90</v>
      </c>
      <c r="C92" s="23">
        <v>2260.87</v>
      </c>
      <c r="D92" s="5">
        <f t="shared" si="29"/>
        <v>0.04350857462640322</v>
      </c>
      <c r="E92" s="5">
        <f t="shared" si="30"/>
        <v>2523.8001480107864</v>
      </c>
      <c r="F92" s="5">
        <f t="shared" si="31"/>
        <v>1.3052572387920967</v>
      </c>
      <c r="G92" s="5">
        <f t="shared" si="32"/>
        <v>197.92050597550826</v>
      </c>
      <c r="H92" s="5">
        <f t="shared" si="33"/>
        <v>329.5243723339602</v>
      </c>
      <c r="I92" s="5">
        <f t="shared" si="34"/>
        <v>113.12229402864838</v>
      </c>
      <c r="J92" s="5">
        <f t="shared" si="35"/>
        <v>216.08620605352414</v>
      </c>
      <c r="K92" s="5">
        <f t="shared" si="36"/>
        <v>4.350857462640322</v>
      </c>
      <c r="L92" s="5">
        <f t="shared" si="37"/>
        <v>105.2379833965889</v>
      </c>
      <c r="M92" s="5">
        <f t="shared" si="38"/>
        <v>3491.3476245004485</v>
      </c>
      <c r="N92" s="6">
        <v>23</v>
      </c>
      <c r="O92" s="5">
        <f>M92/N92</f>
        <v>151.79772280436734</v>
      </c>
      <c r="P92" s="6" t="s">
        <v>65</v>
      </c>
    </row>
    <row r="93" spans="2:16" ht="15">
      <c r="B93" s="4"/>
      <c r="C93" s="2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5">
      <c r="B94" s="4" t="s">
        <v>52</v>
      </c>
      <c r="C94" s="26">
        <f>SUM(C66:C93)</f>
        <v>51963.78000000001</v>
      </c>
      <c r="D94" s="11"/>
      <c r="E94" s="9">
        <f>SUM(E66:E93)</f>
        <v>58006.95999999998</v>
      </c>
      <c r="F94" s="9">
        <f>SUM(F66:F93)</f>
        <v>29.999999999999993</v>
      </c>
      <c r="G94" s="9">
        <f>SUM(G66:G93)</f>
        <v>4548.999999999999</v>
      </c>
      <c r="H94" s="9">
        <f>H66+H67+H68+H69+H70+H71+H72+H73+H74+H75+H76+H77+H78+H80+H79+H81+H82+H83+H84+H85+H86+H87+H88+H89+H90+H91+H92</f>
        <v>7573.779999999998</v>
      </c>
      <c r="I94" s="9">
        <f>SUM(I66:I93)</f>
        <v>2599.9999999999995</v>
      </c>
      <c r="J94" s="9">
        <f>SUM(J66:J92)</f>
        <v>4966.5199999999995</v>
      </c>
      <c r="K94" s="9">
        <f>SUM(K66:K93)</f>
        <v>99.99999999999994</v>
      </c>
      <c r="L94" s="9">
        <f>SUM(L66:L93)</f>
        <v>2418.787199999999</v>
      </c>
      <c r="M94" s="9">
        <f>SUM(M66:M93)</f>
        <v>80245.04719999997</v>
      </c>
      <c r="N94" s="4"/>
      <c r="O94" s="4"/>
      <c r="P94" s="4"/>
    </row>
    <row r="96" spans="2:5" ht="15">
      <c r="B96" t="s">
        <v>98</v>
      </c>
      <c r="E96" s="16"/>
    </row>
    <row r="97" ht="15">
      <c r="B97" t="s">
        <v>99</v>
      </c>
    </row>
    <row r="98" ht="15">
      <c r="B98" t="s">
        <v>100</v>
      </c>
    </row>
    <row r="99" ht="15">
      <c r="B99" t="s">
        <v>101</v>
      </c>
    </row>
    <row r="100" ht="15">
      <c r="B100" t="s">
        <v>102</v>
      </c>
    </row>
    <row r="101" ht="15">
      <c r="B101" t="s">
        <v>103</v>
      </c>
    </row>
    <row r="103" spans="2:4" ht="15">
      <c r="B103" t="s">
        <v>104</v>
      </c>
      <c r="C103" s="15"/>
      <c r="D103" t="s">
        <v>106</v>
      </c>
    </row>
  </sheetData>
  <sheetProtection/>
  <mergeCells count="18">
    <mergeCell ref="B1:S1"/>
    <mergeCell ref="B2:S2"/>
    <mergeCell ref="A3:P3"/>
    <mergeCell ref="B5:G5"/>
    <mergeCell ref="B6:R6"/>
    <mergeCell ref="B46:P46"/>
    <mergeCell ref="B58:P58"/>
    <mergeCell ref="O19:O20"/>
    <mergeCell ref="P19:P20"/>
    <mergeCell ref="B21:P21"/>
    <mergeCell ref="B31:P31"/>
    <mergeCell ref="B32:P32"/>
    <mergeCell ref="B37:P37"/>
    <mergeCell ref="B19:B20"/>
    <mergeCell ref="C19:C20"/>
    <mergeCell ref="D19:D20"/>
    <mergeCell ref="E19:M19"/>
    <mergeCell ref="N19:N20"/>
  </mergeCells>
  <printOptions/>
  <pageMargins left="0.7086614173228347" right="0.7086614173228347" top="0.3937007874015748" bottom="0.3937007874015748" header="0.31496062992125984" footer="0.31496062992125984"/>
  <pageSetup fitToHeight="3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"/>
  <sheetViews>
    <sheetView zoomScalePageLayoutView="0" workbookViewId="0" topLeftCell="A1">
      <selection activeCell="N97" sqref="N97"/>
    </sheetView>
  </sheetViews>
  <sheetFormatPr defaultColWidth="9.140625" defaultRowHeight="15"/>
  <cols>
    <col min="1" max="1" width="4.28125" style="0" customWidth="1"/>
    <col min="2" max="2" width="42.140625" style="0" customWidth="1"/>
    <col min="3" max="3" width="13.140625" style="0" customWidth="1"/>
    <col min="4" max="4" width="14.00390625" style="0" customWidth="1"/>
    <col min="5" max="5" width="12.140625" style="0" customWidth="1"/>
    <col min="6" max="13" width="10.57421875" style="0" customWidth="1"/>
    <col min="14" max="14" width="12.7109375" style="0" customWidth="1"/>
    <col min="15" max="15" width="14.421875" style="0" customWidth="1"/>
    <col min="16" max="16" width="16.140625" style="0" customWidth="1"/>
  </cols>
  <sheetData>
    <row r="1" spans="2:19" ht="15">
      <c r="B1" s="38" t="s">
        <v>46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2:19" ht="15">
      <c r="B2" s="38" t="s">
        <v>130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20" ht="49.5" customHeight="1">
      <c r="A3" s="39" t="s">
        <v>131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2"/>
      <c r="R3" s="2"/>
      <c r="S3" s="2"/>
      <c r="T3" s="2"/>
    </row>
    <row r="4" ht="15">
      <c r="A4" t="s">
        <v>47</v>
      </c>
    </row>
    <row r="5" spans="2:7" ht="15">
      <c r="B5" s="40" t="s">
        <v>133</v>
      </c>
      <c r="C5" s="40"/>
      <c r="D5" s="40"/>
      <c r="E5" s="40"/>
      <c r="F5" s="40"/>
      <c r="G5" s="40"/>
    </row>
    <row r="6" spans="2:18" ht="15">
      <c r="B6" s="40" t="s">
        <v>132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8" spans="2:15" ht="15">
      <c r="B8" s="1" t="s">
        <v>124</v>
      </c>
      <c r="C8" s="1"/>
      <c r="D8" s="1"/>
      <c r="E8" s="17">
        <f>4204562+436014.11</f>
        <v>4640576.11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2:4" ht="15">
      <c r="B9" t="s">
        <v>105</v>
      </c>
      <c r="C9" s="17">
        <f>35912+46014</f>
        <v>81926</v>
      </c>
      <c r="D9" s="17"/>
    </row>
    <row r="10" spans="2:3" ht="15">
      <c r="B10" t="s">
        <v>61</v>
      </c>
      <c r="C10" s="20">
        <f>2476644+747946</f>
        <v>3224590</v>
      </c>
    </row>
    <row r="11" spans="2:3" ht="15">
      <c r="B11" t="s">
        <v>107</v>
      </c>
      <c r="C11" s="20">
        <v>1400</v>
      </c>
    </row>
    <row r="12" spans="2:3" ht="15">
      <c r="B12" t="s">
        <v>49</v>
      </c>
      <c r="C12" s="20">
        <f>227380.35-10588.49-48.63-30371.39-136.52-77.69</f>
        <v>186157.63000000003</v>
      </c>
    </row>
    <row r="13" spans="2:5" ht="15">
      <c r="B13" t="s">
        <v>121</v>
      </c>
      <c r="C13" s="20">
        <f>240872-4072-121</f>
        <v>236679</v>
      </c>
      <c r="E13" s="20"/>
    </row>
    <row r="14" spans="2:12" ht="15">
      <c r="B14" t="s">
        <v>50</v>
      </c>
      <c r="C14" s="20">
        <v>255515</v>
      </c>
      <c r="E14" s="16"/>
      <c r="F14" s="16"/>
      <c r="G14" s="16"/>
      <c r="H14" s="16"/>
      <c r="K14" s="16"/>
      <c r="L14" s="16"/>
    </row>
    <row r="15" spans="2:12" ht="15">
      <c r="B15" t="s">
        <v>109</v>
      </c>
      <c r="C15" s="20">
        <f>167590</f>
        <v>167590</v>
      </c>
      <c r="E15" s="16"/>
      <c r="F15" s="16"/>
      <c r="G15" s="16"/>
      <c r="H15" s="16"/>
      <c r="K15" s="16"/>
      <c r="L15" s="16"/>
    </row>
    <row r="16" spans="2:12" ht="15">
      <c r="B16" t="s">
        <v>51</v>
      </c>
      <c r="C16" s="20">
        <f>176+58979</f>
        <v>59155</v>
      </c>
      <c r="K16" s="16"/>
      <c r="L16" s="16"/>
    </row>
    <row r="17" spans="2:12" ht="15">
      <c r="B17" t="s">
        <v>127</v>
      </c>
      <c r="C17" s="20">
        <v>414793.76</v>
      </c>
      <c r="K17" s="16"/>
      <c r="L17" s="16"/>
    </row>
    <row r="18" spans="2:3" ht="30">
      <c r="B18" s="21" t="s">
        <v>125</v>
      </c>
      <c r="C18" s="22">
        <f>C10+C12+C13+C14+C15+C16+C11+C17</f>
        <v>4545880.39</v>
      </c>
    </row>
    <row r="19" spans="2:16" ht="39.75" customHeight="1">
      <c r="B19" s="41" t="s">
        <v>0</v>
      </c>
      <c r="C19" s="34" t="s">
        <v>53</v>
      </c>
      <c r="D19" s="34" t="s">
        <v>60</v>
      </c>
      <c r="E19" s="34" t="s">
        <v>57</v>
      </c>
      <c r="F19" s="34"/>
      <c r="G19" s="34"/>
      <c r="H19" s="34"/>
      <c r="I19" s="34"/>
      <c r="J19" s="34"/>
      <c r="K19" s="34"/>
      <c r="L19" s="34"/>
      <c r="M19" s="34"/>
      <c r="N19" s="34" t="s">
        <v>55</v>
      </c>
      <c r="O19" s="34" t="s">
        <v>56</v>
      </c>
      <c r="P19" s="34" t="s">
        <v>48</v>
      </c>
    </row>
    <row r="20" spans="2:16" ht="55.5" customHeight="1">
      <c r="B20" s="41"/>
      <c r="C20" s="34"/>
      <c r="D20" s="34"/>
      <c r="E20" s="27" t="s">
        <v>58</v>
      </c>
      <c r="F20" s="27" t="s">
        <v>107</v>
      </c>
      <c r="G20" s="27" t="s">
        <v>59</v>
      </c>
      <c r="H20" s="27" t="s">
        <v>108</v>
      </c>
      <c r="I20" s="27" t="s">
        <v>50</v>
      </c>
      <c r="J20" s="27" t="s">
        <v>109</v>
      </c>
      <c r="K20" s="27" t="s">
        <v>51</v>
      </c>
      <c r="L20" s="27" t="s">
        <v>127</v>
      </c>
      <c r="M20" s="27" t="s">
        <v>54</v>
      </c>
      <c r="N20" s="34"/>
      <c r="O20" s="34"/>
      <c r="P20" s="34"/>
    </row>
    <row r="21" spans="2:16" ht="15">
      <c r="B21" s="31" t="s">
        <v>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</row>
    <row r="22" spans="2:16" ht="15">
      <c r="B22" s="4" t="s">
        <v>2</v>
      </c>
      <c r="C22" s="23">
        <f>94823.84+142000*3+144500*3</f>
        <v>954323.84</v>
      </c>
      <c r="D22" s="5">
        <f>C22/C62</f>
        <v>0.08704147048052194</v>
      </c>
      <c r="E22" s="5">
        <f>D22*0.9*$C$10</f>
        <v>252605.7497671076</v>
      </c>
      <c r="F22" s="5">
        <f>$C$11*0.9*D22</f>
        <v>109.67225280545765</v>
      </c>
      <c r="G22" s="5">
        <f>$C$12*0.9*D22</f>
        <v>14583.090470732035</v>
      </c>
      <c r="H22" s="5">
        <f>$C$13*0.9*D22</f>
        <v>18540.799372673508</v>
      </c>
      <c r="I22" s="5">
        <f>$C$14*0.9*D22</f>
        <v>20016.361196847505</v>
      </c>
      <c r="J22" s="5">
        <f>$C$15*0.9*D22</f>
        <v>13128.552034047605</v>
      </c>
      <c r="K22" s="5">
        <f aca="true" t="shared" si="0" ref="K22:K30">$C$16*0.9*D22</f>
        <v>4634.044367647748</v>
      </c>
      <c r="L22" s="5">
        <f>$C$17*0.9*D22</f>
        <v>32493.832934890233</v>
      </c>
      <c r="M22" s="5">
        <f>K22+E22+F22+G22+H22+I22+J22+L22</f>
        <v>356112.1023967517</v>
      </c>
      <c r="N22" s="6">
        <v>3500</v>
      </c>
      <c r="O22" s="5">
        <f>M22/N22</f>
        <v>101.74631497050048</v>
      </c>
      <c r="P22" s="6" t="s">
        <v>92</v>
      </c>
    </row>
    <row r="23" spans="2:16" ht="15">
      <c r="B23" s="4" t="s">
        <v>4</v>
      </c>
      <c r="C23" s="23">
        <v>167890</v>
      </c>
      <c r="D23" s="5">
        <f>C23/C62</f>
        <v>0.015312823453068959</v>
      </c>
      <c r="E23" s="5">
        <f>D23*0.9*$C$10</f>
        <v>44439.81964067847</v>
      </c>
      <c r="F23" s="5">
        <f aca="true" t="shared" si="1" ref="F23:F30">$C$11*0.9*D23</f>
        <v>19.29415755086689</v>
      </c>
      <c r="G23" s="5">
        <f>$C$12*0.9*D23</f>
        <v>2565.539030368561</v>
      </c>
      <c r="H23" s="5">
        <f>$C$13*0.9*D23</f>
        <v>3261.8013678440175</v>
      </c>
      <c r="I23" s="5">
        <f aca="true" t="shared" si="2" ref="I23:I30">$C$14*0.9*D23</f>
        <v>3521.3904761498234</v>
      </c>
      <c r="J23" s="5">
        <f aca="true" t="shared" si="3" ref="J23:J30">$C$15*0.9*D23</f>
        <v>2309.648474249844</v>
      </c>
      <c r="K23" s="5">
        <f t="shared" si="0"/>
        <v>815.2470642296648</v>
      </c>
      <c r="L23" s="5">
        <f aca="true" t="shared" si="4" ref="L23:L30">$C$17*0.9*D23</f>
        <v>5716.497254683191</v>
      </c>
      <c r="M23" s="5">
        <f aca="true" t="shared" si="5" ref="M23:M30">K23+E23+F23+G23+H23+I23+J23+L23</f>
        <v>62649.23746575445</v>
      </c>
      <c r="N23" s="6">
        <v>1250</v>
      </c>
      <c r="O23" s="5">
        <f aca="true" t="shared" si="6" ref="O23:O30">M23/N23</f>
        <v>50.11938997260356</v>
      </c>
      <c r="P23" s="6" t="s">
        <v>28</v>
      </c>
    </row>
    <row r="24" spans="2:16" ht="15">
      <c r="B24" s="4" t="s">
        <v>6</v>
      </c>
      <c r="C24" s="23">
        <v>1843036.47</v>
      </c>
      <c r="D24" s="5">
        <f>C24/C62</f>
        <v>0.16809870797949505</v>
      </c>
      <c r="E24" s="5">
        <f>D24*0.9*$C$10</f>
        <v>487844.47148724</v>
      </c>
      <c r="F24" s="5">
        <f t="shared" si="1"/>
        <v>211.80437205416376</v>
      </c>
      <c r="G24" s="5">
        <f>$C$12*0.9*D24</f>
        <v>28163.571375172403</v>
      </c>
      <c r="H24" s="5">
        <f aca="true" t="shared" si="7" ref="H24:H30">$C$13*0.9*D24</f>
        <v>35806.89069529102</v>
      </c>
      <c r="I24" s="5">
        <f t="shared" si="2"/>
        <v>38656.56723244261</v>
      </c>
      <c r="J24" s="5">
        <f t="shared" si="3"/>
        <v>25354.496223255217</v>
      </c>
      <c r="K24" s="5">
        <f t="shared" si="0"/>
        <v>8949.491163474328</v>
      </c>
      <c r="L24" s="5">
        <f t="shared" si="4"/>
        <v>62753.665620561085</v>
      </c>
      <c r="M24" s="5">
        <f>K24+E24+F24+G24+H24+I24+J24+L24</f>
        <v>687740.9581694908</v>
      </c>
      <c r="N24" s="6">
        <v>8500</v>
      </c>
      <c r="O24" s="5">
        <f t="shared" si="6"/>
        <v>80.91070096111656</v>
      </c>
      <c r="P24" s="6" t="s">
        <v>3</v>
      </c>
    </row>
    <row r="25" spans="2:16" ht="15">
      <c r="B25" s="4" t="s">
        <v>8</v>
      </c>
      <c r="C25" s="23">
        <v>577245.36</v>
      </c>
      <c r="D25" s="5">
        <f>C25/C62</f>
        <v>0.05264909337532452</v>
      </c>
      <c r="E25" s="5">
        <f>D25*0.9*$C$10</f>
        <v>152794.56600642393</v>
      </c>
      <c r="F25" s="5">
        <f t="shared" si="1"/>
        <v>66.3378576529089</v>
      </c>
      <c r="G25" s="5">
        <f aca="true" t="shared" si="8" ref="G25:G30">$C$12*0.9*D25</f>
        <v>8820.927399959204</v>
      </c>
      <c r="H25" s="5">
        <f t="shared" si="7"/>
        <v>11214.84129388059</v>
      </c>
      <c r="I25" s="5">
        <f t="shared" si="2"/>
        <v>12107.369784416442</v>
      </c>
      <c r="J25" s="5">
        <f t="shared" si="3"/>
        <v>7941.115402893573</v>
      </c>
      <c r="K25" s="5">
        <f t="shared" si="0"/>
        <v>2803.01140675559</v>
      </c>
      <c r="L25" s="5">
        <f t="shared" si="4"/>
        <v>19654.663861567755</v>
      </c>
      <c r="M25" s="5">
        <f t="shared" si="5"/>
        <v>215402.83301355006</v>
      </c>
      <c r="N25" s="6">
        <v>4300</v>
      </c>
      <c r="O25" s="5">
        <f t="shared" si="6"/>
        <v>50.09368209617443</v>
      </c>
      <c r="P25" s="6" t="s">
        <v>28</v>
      </c>
    </row>
    <row r="26" spans="2:16" ht="15">
      <c r="B26" s="4" t="s">
        <v>9</v>
      </c>
      <c r="C26" s="23">
        <v>31048.29</v>
      </c>
      <c r="D26" s="5">
        <f>C26/C62</f>
        <v>0.002831836221869596</v>
      </c>
      <c r="E26" s="5">
        <f>D26*0.9*$C$10</f>
        <v>8218.359686410631</v>
      </c>
      <c r="F26" s="5">
        <f t="shared" si="1"/>
        <v>3.568113639555691</v>
      </c>
      <c r="G26" s="5">
        <f t="shared" si="8"/>
        <v>474.4511276502584</v>
      </c>
      <c r="H26" s="5">
        <f t="shared" si="7"/>
        <v>603.2125486402867</v>
      </c>
      <c r="I26" s="5">
        <f t="shared" si="2"/>
        <v>651.2189690079089</v>
      </c>
      <c r="J26" s="5">
        <f t="shared" si="3"/>
        <v>427.128689180813</v>
      </c>
      <c r="K26" s="5">
        <f t="shared" si="0"/>
        <v>150.76554453422636</v>
      </c>
      <c r="L26" s="5">
        <f t="shared" si="4"/>
        <v>1057.1651947561356</v>
      </c>
      <c r="M26" s="5">
        <f t="shared" si="5"/>
        <v>11585.869873819815</v>
      </c>
      <c r="N26" s="6">
        <v>230</v>
      </c>
      <c r="O26" s="5">
        <f t="shared" si="6"/>
        <v>50.37334727747746</v>
      </c>
      <c r="P26" s="6" t="s">
        <v>28</v>
      </c>
    </row>
    <row r="27" spans="2:16" ht="15">
      <c r="B27" s="4" t="s">
        <v>11</v>
      </c>
      <c r="C27" s="23">
        <v>415000</v>
      </c>
      <c r="D27" s="5">
        <f>C27/C62</f>
        <v>0.037851103299920294</v>
      </c>
      <c r="E27" s="5">
        <f>D27*0.9*$C$10</f>
        <v>109848.86027090099</v>
      </c>
      <c r="F27" s="5">
        <f t="shared" si="1"/>
        <v>47.692390157899574</v>
      </c>
      <c r="G27" s="5">
        <f t="shared" si="8"/>
        <v>6341.644514878508</v>
      </c>
      <c r="H27" s="5">
        <f t="shared" si="7"/>
        <v>8062.705150129652</v>
      </c>
      <c r="I27" s="5">
        <f t="shared" si="2"/>
        <v>8704.37219371122</v>
      </c>
      <c r="J27" s="5">
        <f t="shared" si="3"/>
        <v>5709.119761830278</v>
      </c>
      <c r="K27" s="5">
        <f t="shared" si="0"/>
        <v>2015.1738141361066</v>
      </c>
      <c r="L27" s="5">
        <f t="shared" si="4"/>
        <v>14130.361312130113</v>
      </c>
      <c r="M27" s="5">
        <f t="shared" si="5"/>
        <v>154859.9294078748</v>
      </c>
      <c r="N27" s="6">
        <v>3100</v>
      </c>
      <c r="O27" s="5">
        <f>M27/N27</f>
        <v>49.954815938024126</v>
      </c>
      <c r="P27" s="6" t="s">
        <v>28</v>
      </c>
    </row>
    <row r="28" spans="2:16" ht="15">
      <c r="B28" s="4" t="s">
        <v>12</v>
      </c>
      <c r="C28" s="23">
        <v>1874500</v>
      </c>
      <c r="D28" s="5">
        <f>C28/C62</f>
        <v>0.17096841719445924</v>
      </c>
      <c r="E28" s="5">
        <f>D28*0.9*$C$10</f>
        <v>496172.7435609732</v>
      </c>
      <c r="F28" s="5">
        <f t="shared" si="1"/>
        <v>215.42020566501864</v>
      </c>
      <c r="G28" s="5">
        <f t="shared" si="8"/>
        <v>28644.36781479461</v>
      </c>
      <c r="H28" s="5">
        <f t="shared" si="7"/>
        <v>36418.17061185068</v>
      </c>
      <c r="I28" s="5">
        <f t="shared" si="2"/>
        <v>39316.49560749803</v>
      </c>
      <c r="J28" s="5">
        <f t="shared" si="3"/>
        <v>25787.337333857482</v>
      </c>
      <c r="K28" s="5">
        <f t="shared" si="0"/>
        <v>9102.273047224413</v>
      </c>
      <c r="L28" s="5">
        <f t="shared" si="4"/>
        <v>63824.969348404564</v>
      </c>
      <c r="M28" s="5">
        <f t="shared" si="5"/>
        <v>699481.7775302678</v>
      </c>
      <c r="N28" s="6">
        <v>14000</v>
      </c>
      <c r="O28" s="5">
        <f>M28/N28</f>
        <v>49.96298410930485</v>
      </c>
      <c r="P28" s="6" t="s">
        <v>28</v>
      </c>
    </row>
    <row r="29" spans="2:16" ht="15">
      <c r="B29" s="4" t="s">
        <v>13</v>
      </c>
      <c r="C29" s="23">
        <v>387245.36</v>
      </c>
      <c r="D29" s="5">
        <f>C29/C62</f>
        <v>0.03531967258740921</v>
      </c>
      <c r="E29" s="5">
        <f>D29*0.9*$C$10</f>
        <v>102502.31672577046</v>
      </c>
      <c r="F29" s="5">
        <f t="shared" si="1"/>
        <v>44.5027874601356</v>
      </c>
      <c r="G29" s="5">
        <f t="shared" si="8"/>
        <v>5917.5238871232605</v>
      </c>
      <c r="H29" s="5">
        <f t="shared" si="7"/>
        <v>7523.482309483882</v>
      </c>
      <c r="I29" s="5">
        <f t="shared" si="2"/>
        <v>8122.235527054678</v>
      </c>
      <c r="J29" s="5">
        <f t="shared" si="3"/>
        <v>5327.3015360315185</v>
      </c>
      <c r="K29" s="5">
        <f t="shared" si="0"/>
        <v>1880.4017087173725</v>
      </c>
      <c r="L29" s="5">
        <f t="shared" si="4"/>
        <v>13185.341815050355</v>
      </c>
      <c r="M29" s="5">
        <f t="shared" si="5"/>
        <v>144503.10629669164</v>
      </c>
      <c r="N29" s="6">
        <v>1600</v>
      </c>
      <c r="O29" s="5">
        <f t="shared" si="6"/>
        <v>90.31444143543227</v>
      </c>
      <c r="P29" s="6" t="s">
        <v>134</v>
      </c>
    </row>
    <row r="30" spans="2:16" ht="15">
      <c r="B30" s="4" t="s">
        <v>14</v>
      </c>
      <c r="C30" s="23">
        <v>1666157.76</v>
      </c>
      <c r="D30" s="5">
        <f>C30/C62</f>
        <v>0.1519660469583706</v>
      </c>
      <c r="E30" s="5">
        <f>D30*0.9*$C$10</f>
        <v>441025.375825343</v>
      </c>
      <c r="F30" s="5">
        <f t="shared" si="1"/>
        <v>191.47721916754696</v>
      </c>
      <c r="G30" s="5">
        <f t="shared" si="8"/>
        <v>25460.675228015087</v>
      </c>
      <c r="H30" s="5">
        <f t="shared" si="7"/>
        <v>32370.454825254175</v>
      </c>
      <c r="I30" s="5">
        <f t="shared" si="2"/>
        <v>34946.64403971126</v>
      </c>
      <c r="J30" s="5">
        <f t="shared" si="3"/>
        <v>22921.190828777995</v>
      </c>
      <c r="K30" s="5">
        <f t="shared" si="0"/>
        <v>8090.596357040172</v>
      </c>
      <c r="L30" s="5">
        <f t="shared" si="4"/>
        <v>56731.111209179195</v>
      </c>
      <c r="M30" s="5">
        <f t="shared" si="5"/>
        <v>621737.5255324884</v>
      </c>
      <c r="N30" s="6">
        <v>7700</v>
      </c>
      <c r="O30" s="5">
        <f t="shared" si="6"/>
        <v>80.74513318603745</v>
      </c>
      <c r="P30" s="6" t="s">
        <v>3</v>
      </c>
    </row>
    <row r="31" spans="2:16" ht="15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</row>
    <row r="32" spans="2:16" ht="15">
      <c r="B32" s="31" t="s">
        <v>15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2:16" ht="15">
      <c r="B33" s="4" t="s">
        <v>16</v>
      </c>
      <c r="C33" s="23">
        <v>294900</v>
      </c>
      <c r="D33" s="5">
        <f>C33/C62</f>
        <v>0.02689708521240119</v>
      </c>
      <c r="E33" s="5">
        <f>D33*0.9*$C$10</f>
        <v>78058.86480455108</v>
      </c>
      <c r="F33" s="5">
        <f>$C$11*0.9*D33</f>
        <v>33.8903273676255</v>
      </c>
      <c r="G33" s="5">
        <f>$C$12*0.9*D33</f>
        <v>4506.387873343788</v>
      </c>
      <c r="H33" s="5">
        <f>$C$13*0.9*D33</f>
        <v>5729.377707887312</v>
      </c>
      <c r="I33" s="5">
        <f>$C$14*0.9*D33</f>
        <v>6185.347855242021</v>
      </c>
      <c r="J33" s="5">
        <f>$C$15*0.9*D33</f>
        <v>4056.9142596716842</v>
      </c>
      <c r="K33" s="5">
        <f>$C$16*0.9*D33</f>
        <v>1431.9873681656331</v>
      </c>
      <c r="L33" s="5">
        <f>$C$17*0.9*D33</f>
        <v>10041.06879746306</v>
      </c>
      <c r="M33" s="5">
        <f>E33+F33+G33+H33+I33+J33+K33+L33</f>
        <v>110043.8389936922</v>
      </c>
      <c r="N33" s="6">
        <v>1100</v>
      </c>
      <c r="O33" s="5">
        <f aca="true" t="shared" si="9" ref="O33:O64">M33/N33</f>
        <v>100.03985363062928</v>
      </c>
      <c r="P33" s="6" t="s">
        <v>92</v>
      </c>
    </row>
    <row r="34" spans="2:16" ht="15">
      <c r="B34" s="4" t="s">
        <v>17</v>
      </c>
      <c r="C34" s="23">
        <v>101661</v>
      </c>
      <c r="D34" s="5">
        <f>C34/C62</f>
        <v>0.009272243403790835</v>
      </c>
      <c r="E34" s="5">
        <f>D34*0.9*$C$10</f>
        <v>26909.2650216869</v>
      </c>
      <c r="F34" s="5">
        <f>$C$11*0.9*D34</f>
        <v>11.683026688776453</v>
      </c>
      <c r="G34" s="5">
        <f>$C$12*0.9*D34</f>
        <v>1553.4889711495516</v>
      </c>
      <c r="H34" s="5">
        <f>$C$13*0.9*D34</f>
        <v>1975.09076690923</v>
      </c>
      <c r="I34" s="5">
        <f>$C$14*0.9*D34</f>
        <v>2132.277545987654</v>
      </c>
      <c r="J34" s="5">
        <f>$C$15*0.9*D34</f>
        <v>1398.5417448371754</v>
      </c>
      <c r="K34" s="5">
        <f>$C$16*0.9*D34</f>
        <v>493.6496026961222</v>
      </c>
      <c r="L34" s="5">
        <f>$C$17*0.9*D34</f>
        <v>3461.461834584239</v>
      </c>
      <c r="M34" s="5">
        <f>E34+F34+G34+H34+I34+J34+K34+L34</f>
        <v>37935.458514539656</v>
      </c>
      <c r="N34" s="6">
        <v>770</v>
      </c>
      <c r="O34" s="5">
        <f t="shared" si="9"/>
        <v>49.26682923966189</v>
      </c>
      <c r="P34" s="6" t="s">
        <v>28</v>
      </c>
    </row>
    <row r="35" spans="2:16" ht="15">
      <c r="B35" s="4" t="s">
        <v>18</v>
      </c>
      <c r="C35" s="23">
        <v>109438.56</v>
      </c>
      <c r="D35" s="5">
        <f>C35/C62</f>
        <v>0.009981615035071145</v>
      </c>
      <c r="E35" s="5">
        <f>D35*0.9*$C$10</f>
        <v>28967.95442334606</v>
      </c>
      <c r="F35" s="5">
        <f>$C$11*0.9*D35</f>
        <v>12.576834944189642</v>
      </c>
      <c r="G35" s="5">
        <f>$C$12*0.9*D35</f>
        <v>1672.3384186510905</v>
      </c>
      <c r="H35" s="5">
        <f>$C$13*0.9*D35</f>
        <v>2126.194798397043</v>
      </c>
      <c r="I35" s="5">
        <f>$C$14*0.9*D35</f>
        <v>2295.4071291175833</v>
      </c>
      <c r="J35" s="5">
        <f>$C$15*0.9*D35</f>
        <v>1505.536977354816</v>
      </c>
      <c r="K35" s="5">
        <f>$C$16*0.9*D35</f>
        <v>531.4161936596702</v>
      </c>
      <c r="L35" s="5">
        <f>$C$17*0.9*D35</f>
        <v>3726.280468142723</v>
      </c>
      <c r="M35" s="5">
        <f>E35+F35+G35+H35+I35+J35+K35+L35</f>
        <v>40837.70524361318</v>
      </c>
      <c r="N35" s="6">
        <v>820</v>
      </c>
      <c r="O35" s="5">
        <f t="shared" si="9"/>
        <v>49.80207956538192</v>
      </c>
      <c r="P35" s="6" t="s">
        <v>28</v>
      </c>
    </row>
    <row r="36" spans="2:16" ht="15">
      <c r="B36" s="4" t="s">
        <v>19</v>
      </c>
      <c r="C36" s="23">
        <v>97500</v>
      </c>
      <c r="D36" s="5">
        <f>C36/C62</f>
        <v>0.00889272908853549</v>
      </c>
      <c r="E36" s="5">
        <f>D36*0.9*$C$10</f>
        <v>25807.864762440593</v>
      </c>
      <c r="F36" s="5">
        <f>$C$11*0.9*D36</f>
        <v>11.204838651554716</v>
      </c>
      <c r="G36" s="5">
        <f>$C$12*0.9*D36</f>
        <v>1489.9044342184445</v>
      </c>
      <c r="H36" s="5">
        <f>$C$13*0.9*D36</f>
        <v>1894.2500051509421</v>
      </c>
      <c r="I36" s="5">
        <f>$C$14*0.9*D36</f>
        <v>2045.0031057514311</v>
      </c>
      <c r="J36" s="5">
        <f>$C$15*0.9*D36</f>
        <v>1341.2992211528965</v>
      </c>
      <c r="K36" s="5">
        <f>$C$16*0.9*D36</f>
        <v>473.4444503090852</v>
      </c>
      <c r="L36" s="5">
        <f>$C$17*0.9*D36</f>
        <v>3319.783681765508</v>
      </c>
      <c r="M36" s="5">
        <f>E36+F36+G36+H36+I36+J36+K36+L36</f>
        <v>36382.75449944046</v>
      </c>
      <c r="N36" s="6">
        <v>730</v>
      </c>
      <c r="O36" s="5">
        <f t="shared" si="9"/>
        <v>49.8393897252609</v>
      </c>
      <c r="P36" s="6" t="s">
        <v>28</v>
      </c>
    </row>
    <row r="37" spans="2:16" ht="15">
      <c r="B37" s="31" t="s">
        <v>20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</row>
    <row r="38" spans="2:16" ht="15">
      <c r="B38" s="4" t="s">
        <v>22</v>
      </c>
      <c r="C38" s="24">
        <v>135837</v>
      </c>
      <c r="D38" s="5">
        <f>C38/C62</f>
        <v>0.012389350166147645</v>
      </c>
      <c r="E38" s="5">
        <f>D38*$C$10*0.9</f>
        <v>35955.51718703223</v>
      </c>
      <c r="F38" s="5">
        <f>$C$11*0.9*D38</f>
        <v>15.610581209346032</v>
      </c>
      <c r="G38" s="5">
        <f>$C$12*D38*0.9</f>
        <v>2075.734857753137</v>
      </c>
      <c r="H38" s="5">
        <f>$C$13*0.9*D38</f>
        <v>2639.0691071762926</v>
      </c>
      <c r="I38" s="5">
        <f>$C$14*0.9*D38</f>
        <v>2849.098326932894</v>
      </c>
      <c r="J38" s="5">
        <f>$C$15*0.9*D38</f>
        <v>1868.6980749102154</v>
      </c>
      <c r="K38" s="5">
        <f aca="true" t="shared" si="10" ref="K38:K46">$C$16*0.9*D38</f>
        <v>659.6028081706175</v>
      </c>
      <c r="L38" s="5">
        <f>$C$17*0.9*D38</f>
        <v>4625.122625435706</v>
      </c>
      <c r="M38" s="5">
        <f>K38+E38+F38+G38+H38+I38+J38+L38</f>
        <v>50688.45356862043</v>
      </c>
      <c r="N38" s="6">
        <v>5000</v>
      </c>
      <c r="O38" s="5">
        <f t="shared" si="9"/>
        <v>10.137690713724087</v>
      </c>
      <c r="P38" s="6" t="s">
        <v>23</v>
      </c>
    </row>
    <row r="39" spans="2:16" ht="15">
      <c r="B39" s="4" t="s">
        <v>24</v>
      </c>
      <c r="C39" s="24">
        <v>84636.9</v>
      </c>
      <c r="D39" s="5">
        <f>C39/C62</f>
        <v>0.0077195181804458396</v>
      </c>
      <c r="E39" s="5">
        <f>D39*$C$10*0.9</f>
        <v>22403.053016535465</v>
      </c>
      <c r="F39" s="5">
        <f aca="true" t="shared" si="11" ref="F39:F46">$C$11*0.9*D39</f>
        <v>9.726592907361757</v>
      </c>
      <c r="G39" s="5">
        <f aca="true" t="shared" si="12" ref="G39:G46">$C$12*D39*0.9</f>
        <v>1293.342488292339</v>
      </c>
      <c r="H39" s="5">
        <f aca="true" t="shared" si="13" ref="H39:H46">$C$13*0.9*D39</f>
        <v>1644.3430590867667</v>
      </c>
      <c r="I39" s="5">
        <f aca="true" t="shared" si="14" ref="I39:I46">$C$14*0.9*D39</f>
        <v>1775.2074190889568</v>
      </c>
      <c r="J39" s="5">
        <f aca="true" t="shared" si="15" ref="J39:J46">$C$15*0.9*D39</f>
        <v>1164.3426466748265</v>
      </c>
      <c r="K39" s="5">
        <f t="shared" si="10"/>
        <v>410.9832881678463</v>
      </c>
      <c r="L39" s="5">
        <f aca="true" t="shared" si="16" ref="L39:L46">$C$17*0.9*D39</f>
        <v>2881.8071743099395</v>
      </c>
      <c r="M39" s="5">
        <f aca="true" t="shared" si="17" ref="M39:M45">K39+E39+F39+G39+H39+I39+J39+L39</f>
        <v>31582.805685063504</v>
      </c>
      <c r="N39" s="6">
        <v>3000</v>
      </c>
      <c r="O39" s="5">
        <f t="shared" si="9"/>
        <v>10.527601895021167</v>
      </c>
      <c r="P39" s="6" t="s">
        <v>23</v>
      </c>
    </row>
    <row r="40" spans="2:16" ht="15">
      <c r="B40" s="4" t="s">
        <v>25</v>
      </c>
      <c r="C40" s="24">
        <v>132702.3</v>
      </c>
      <c r="D40" s="5">
        <f>C40/C62</f>
        <v>0.01210344208539039</v>
      </c>
      <c r="E40" s="5">
        <f aca="true" t="shared" si="18" ref="E40:E46">D40*$C$10*0.9</f>
        <v>35125.7744827161</v>
      </c>
      <c r="F40" s="5">
        <f t="shared" si="11"/>
        <v>15.250337027591891</v>
      </c>
      <c r="G40" s="5">
        <f t="shared" si="12"/>
        <v>2027.8332841126796</v>
      </c>
      <c r="H40" s="5">
        <f t="shared" si="13"/>
        <v>2578.167512395301</v>
      </c>
      <c r="I40" s="5">
        <f t="shared" si="14"/>
        <v>2783.349904003673</v>
      </c>
      <c r="J40" s="5">
        <f t="shared" si="15"/>
        <v>1825.5742731815178</v>
      </c>
      <c r="K40" s="5">
        <f t="shared" si="10"/>
        <v>644.3812049051417</v>
      </c>
      <c r="L40" s="5">
        <f t="shared" si="16"/>
        <v>4518.389026387189</v>
      </c>
      <c r="M40" s="5">
        <f t="shared" si="17"/>
        <v>49518.7200247292</v>
      </c>
      <c r="N40" s="6">
        <v>5000</v>
      </c>
      <c r="O40" s="5">
        <f t="shared" si="9"/>
        <v>9.903744004945839</v>
      </c>
      <c r="P40" s="6" t="s">
        <v>23</v>
      </c>
    </row>
    <row r="41" spans="2:16" ht="15">
      <c r="B41" s="4" t="s">
        <v>26</v>
      </c>
      <c r="C41" s="24">
        <v>49386.36</v>
      </c>
      <c r="D41" s="5">
        <f>C41/C62</f>
        <v>0.0045044053348603655</v>
      </c>
      <c r="E41" s="5">
        <f t="shared" si="18"/>
        <v>13072.374358863648</v>
      </c>
      <c r="F41" s="5">
        <f t="shared" si="11"/>
        <v>5.67555072192406</v>
      </c>
      <c r="G41" s="5">
        <f t="shared" si="12"/>
        <v>754.676479527266</v>
      </c>
      <c r="H41" s="5">
        <f t="shared" si="13"/>
        <v>959.4883352244748</v>
      </c>
      <c r="I41" s="5">
        <f t="shared" si="14"/>
        <v>1035.8488162231617</v>
      </c>
      <c r="J41" s="5">
        <f t="shared" si="15"/>
        <v>679.4039610623238</v>
      </c>
      <c r="K41" s="5">
        <f t="shared" si="10"/>
        <v>239.81228782529843</v>
      </c>
      <c r="L41" s="5">
        <f t="shared" si="16"/>
        <v>1681.5593028697112</v>
      </c>
      <c r="M41" s="5">
        <f t="shared" si="17"/>
        <v>18428.83909231781</v>
      </c>
      <c r="N41" s="6">
        <v>1900</v>
      </c>
      <c r="O41" s="5">
        <f t="shared" si="9"/>
        <v>9.699388995956742</v>
      </c>
      <c r="P41" s="6" t="s">
        <v>23</v>
      </c>
    </row>
    <row r="42" spans="2:16" ht="15">
      <c r="B42" s="28" t="s">
        <v>110</v>
      </c>
      <c r="C42" s="24">
        <v>98000</v>
      </c>
      <c r="D42" s="5">
        <f>C42/C62</f>
        <v>0.008938332827451058</v>
      </c>
      <c r="E42" s="5">
        <f t="shared" si="18"/>
        <v>25940.212786863365</v>
      </c>
      <c r="F42" s="5">
        <f t="shared" si="11"/>
        <v>11.262299362588333</v>
      </c>
      <c r="G42" s="5">
        <f t="shared" si="12"/>
        <v>1497.5449697785393</v>
      </c>
      <c r="H42" s="5">
        <f t="shared" si="13"/>
        <v>1903.96410774146</v>
      </c>
      <c r="I42" s="5">
        <f t="shared" si="14"/>
        <v>2055.4903011655415</v>
      </c>
      <c r="J42" s="5">
        <f t="shared" si="15"/>
        <v>1348.1776786972705</v>
      </c>
      <c r="K42" s="5">
        <f t="shared" si="10"/>
        <v>475.87237056708057</v>
      </c>
      <c r="L42" s="5">
        <f t="shared" si="16"/>
        <v>3336.80821346687</v>
      </c>
      <c r="M42" s="5">
        <f t="shared" si="17"/>
        <v>36569.33272764272</v>
      </c>
      <c r="N42" s="6">
        <v>1250</v>
      </c>
      <c r="O42" s="5">
        <f>M42/N42</f>
        <v>29.255466182114176</v>
      </c>
      <c r="P42" s="6" t="s">
        <v>97</v>
      </c>
    </row>
    <row r="43" spans="2:16" ht="15">
      <c r="B43" s="29" t="s">
        <v>27</v>
      </c>
      <c r="C43" s="24">
        <v>109000</v>
      </c>
      <c r="D43" s="5">
        <f>C43/C62</f>
        <v>0.009941615083593522</v>
      </c>
      <c r="E43" s="5">
        <f t="shared" si="18"/>
        <v>28851.869324164352</v>
      </c>
      <c r="F43" s="5">
        <f t="shared" si="11"/>
        <v>12.526435005327837</v>
      </c>
      <c r="G43" s="5">
        <f t="shared" si="12"/>
        <v>1665.63675210062</v>
      </c>
      <c r="H43" s="5">
        <f t="shared" si="13"/>
        <v>2117.674364732848</v>
      </c>
      <c r="I43" s="5">
        <f t="shared" si="14"/>
        <v>2286.208600275959</v>
      </c>
      <c r="J43" s="5">
        <f t="shared" si="15"/>
        <v>1499.5037446734946</v>
      </c>
      <c r="K43" s="5">
        <f t="shared" si="10"/>
        <v>529.2866162429773</v>
      </c>
      <c r="L43" s="5">
        <f t="shared" si="16"/>
        <v>3711.3479108968245</v>
      </c>
      <c r="M43" s="5">
        <f t="shared" si="17"/>
        <v>40674.05374809241</v>
      </c>
      <c r="N43" s="6">
        <v>800</v>
      </c>
      <c r="O43" s="5">
        <f t="shared" si="9"/>
        <v>50.84256718511551</v>
      </c>
      <c r="P43" s="6" t="s">
        <v>28</v>
      </c>
    </row>
    <row r="44" spans="2:16" ht="15">
      <c r="B44" s="28" t="s">
        <v>111</v>
      </c>
      <c r="C44" s="24">
        <v>82500</v>
      </c>
      <c r="D44" s="5">
        <f>C44/C62</f>
        <v>0.007524616921068492</v>
      </c>
      <c r="E44" s="5">
        <f t="shared" si="18"/>
        <v>21837.424029757425</v>
      </c>
      <c r="F44" s="5">
        <f t="shared" si="11"/>
        <v>9.4810173205463</v>
      </c>
      <c r="G44" s="5">
        <f t="shared" si="12"/>
        <v>1260.688367415607</v>
      </c>
      <c r="H44" s="5">
        <f t="shared" si="13"/>
        <v>1602.8269274354127</v>
      </c>
      <c r="I44" s="5">
        <f t="shared" si="14"/>
        <v>1730.3872433281342</v>
      </c>
      <c r="J44" s="5">
        <f t="shared" si="15"/>
        <v>1134.9454948216817</v>
      </c>
      <c r="K44" s="5">
        <f t="shared" si="10"/>
        <v>400.606842569226</v>
      </c>
      <c r="L44" s="5">
        <f t="shared" si="16"/>
        <v>2809.047730724661</v>
      </c>
      <c r="M44" s="5">
        <f t="shared" si="17"/>
        <v>30785.407653372695</v>
      </c>
      <c r="N44" s="6">
        <v>770</v>
      </c>
      <c r="O44" s="5">
        <f t="shared" si="9"/>
        <v>39.98104890048402</v>
      </c>
      <c r="P44" s="6" t="s">
        <v>10</v>
      </c>
    </row>
    <row r="45" spans="2:16" ht="15">
      <c r="B45" s="4" t="s">
        <v>29</v>
      </c>
      <c r="C45" s="24">
        <v>271000</v>
      </c>
      <c r="D45" s="5">
        <f>C45/C62</f>
        <v>0.024717226492237107</v>
      </c>
      <c r="E45" s="5">
        <f t="shared" si="18"/>
        <v>71732.62923714257</v>
      </c>
      <c r="F45" s="5">
        <f t="shared" si="11"/>
        <v>31.143705380218755</v>
      </c>
      <c r="G45" s="5">
        <f t="shared" si="12"/>
        <v>4141.170273571267</v>
      </c>
      <c r="H45" s="5">
        <f t="shared" si="13"/>
        <v>5265.043604060568</v>
      </c>
      <c r="I45" s="5">
        <f t="shared" si="14"/>
        <v>5684.059914447568</v>
      </c>
      <c r="J45" s="5">
        <f t="shared" si="15"/>
        <v>3728.123989050615</v>
      </c>
      <c r="K45" s="5">
        <f t="shared" si="10"/>
        <v>1315.9327798334575</v>
      </c>
      <c r="L45" s="5">
        <f t="shared" si="16"/>
        <v>9227.296182137978</v>
      </c>
      <c r="M45" s="5">
        <f t="shared" si="17"/>
        <v>101125.39968562423</v>
      </c>
      <c r="N45" s="6">
        <v>3400</v>
      </c>
      <c r="O45" s="5">
        <f t="shared" si="9"/>
        <v>29.742764613418892</v>
      </c>
      <c r="P45" s="6" t="s">
        <v>97</v>
      </c>
    </row>
    <row r="46" spans="2:16" ht="15">
      <c r="B46" s="4" t="s">
        <v>31</v>
      </c>
      <c r="C46" s="24">
        <v>120000</v>
      </c>
      <c r="D46" s="5">
        <f>C46/C62</f>
        <v>0.010944897339735988</v>
      </c>
      <c r="E46" s="5">
        <f t="shared" si="18"/>
        <v>31763.525861465343</v>
      </c>
      <c r="F46" s="5">
        <f t="shared" si="11"/>
        <v>13.790570648067344</v>
      </c>
      <c r="G46" s="5">
        <f t="shared" si="12"/>
        <v>1833.7285344227012</v>
      </c>
      <c r="H46" s="5">
        <f t="shared" si="13"/>
        <v>2331.3846217242367</v>
      </c>
      <c r="I46" s="5">
        <f t="shared" si="14"/>
        <v>2516.926899386377</v>
      </c>
      <c r="J46" s="5">
        <f t="shared" si="15"/>
        <v>1650.8298106497189</v>
      </c>
      <c r="K46" s="5">
        <f t="shared" si="10"/>
        <v>582.7008619188741</v>
      </c>
      <c r="L46" s="5">
        <f t="shared" si="16"/>
        <v>4085.887608326779</v>
      </c>
      <c r="M46" s="5">
        <f>K46+E46+F46+G46+H46+I46+J46+L46</f>
        <v>44778.7747685421</v>
      </c>
      <c r="N46" s="6">
        <v>1450</v>
      </c>
      <c r="O46" s="5">
        <f t="shared" si="9"/>
        <v>30.88191363347731</v>
      </c>
      <c r="P46" s="6" t="s">
        <v>97</v>
      </c>
    </row>
    <row r="47" spans="2:16" ht="15">
      <c r="B47" s="31" t="s">
        <v>32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/>
    </row>
    <row r="48" spans="2:16" ht="15">
      <c r="B48" s="4" t="s">
        <v>33</v>
      </c>
      <c r="C48" s="23">
        <f>10384*7</f>
        <v>72688</v>
      </c>
      <c r="D48" s="5">
        <f>C48/C62</f>
        <v>0.006629689148589413</v>
      </c>
      <c r="E48" s="5">
        <f>$C$10*0.9*D48</f>
        <v>19240.22639848494</v>
      </c>
      <c r="F48" s="5">
        <f>$C$11*0.9*D48</f>
        <v>8.35340832722266</v>
      </c>
      <c r="G48" s="5">
        <f>$C$12*0.9*D48</f>
        <v>1110.7504975843108</v>
      </c>
      <c r="H48" s="5">
        <f>$C$13*0.9*D48</f>
        <v>1412.1973781990944</v>
      </c>
      <c r="I48" s="5">
        <f>$C$14*0.9*D48</f>
        <v>1524.5865205216414</v>
      </c>
      <c r="J48" s="5">
        <f>$C$15*0.9*D48</f>
        <v>999.9626439708898</v>
      </c>
      <c r="K48" s="5">
        <f aca="true" t="shared" si="19" ref="K48:K58">$C$16*0.9*D48</f>
        <v>352.96133542632606</v>
      </c>
      <c r="L48" s="5">
        <f>$C$17*0.9*D48</f>
        <v>2474.958320617141</v>
      </c>
      <c r="M48" s="5">
        <f>E48+F48+G48+H48+I48+J48+K48+L48</f>
        <v>27123.99650313157</v>
      </c>
      <c r="N48" s="6">
        <v>550</v>
      </c>
      <c r="O48" s="5">
        <f t="shared" si="9"/>
        <v>49.31635727842104</v>
      </c>
      <c r="P48" s="6" t="s">
        <v>28</v>
      </c>
    </row>
    <row r="49" spans="2:16" ht="15">
      <c r="B49" s="4" t="s">
        <v>34</v>
      </c>
      <c r="C49" s="23">
        <v>250000</v>
      </c>
      <c r="D49" s="5">
        <f>C49/C62</f>
        <v>0.02280186945778331</v>
      </c>
      <c r="E49" s="5">
        <f aca="true" t="shared" si="20" ref="E49:E58">$C$10*0.9*D49</f>
        <v>66174.01221138613</v>
      </c>
      <c r="F49" s="5">
        <f aca="true" t="shared" si="21" ref="F49:F58">$C$11*0.9*D49</f>
        <v>28.73035551680697</v>
      </c>
      <c r="G49" s="5">
        <f>$C$12*0.9*D49</f>
        <v>3820.2677800472943</v>
      </c>
      <c r="H49" s="5">
        <f aca="true" t="shared" si="22" ref="H49:H58">$C$13*0.9*D49</f>
        <v>4857.051295258827</v>
      </c>
      <c r="I49" s="5">
        <f aca="true" t="shared" si="23" ref="I49:I58">$C$14*0.9*D49</f>
        <v>5243.5977070549525</v>
      </c>
      <c r="J49" s="5">
        <f aca="true" t="shared" si="24" ref="J49:J58">$C$15*0.9*D49</f>
        <v>3439.2287721869143</v>
      </c>
      <c r="K49" s="5">
        <f t="shared" si="19"/>
        <v>1213.9601289976545</v>
      </c>
      <c r="L49" s="5">
        <f aca="true" t="shared" si="25" ref="L49:L58">$C$17*0.9*D49</f>
        <v>8512.265850680791</v>
      </c>
      <c r="M49" s="5">
        <f aca="true" t="shared" si="26" ref="M49:M58">E49+F49+G49+H49+I49+J49+K49+L49</f>
        <v>93289.11410112938</v>
      </c>
      <c r="N49" s="6">
        <v>2300</v>
      </c>
      <c r="O49" s="5">
        <f t="shared" si="9"/>
        <v>40.560484391795384</v>
      </c>
      <c r="P49" s="6" t="s">
        <v>10</v>
      </c>
    </row>
    <row r="50" spans="2:16" ht="15">
      <c r="B50" s="4" t="s">
        <v>35</v>
      </c>
      <c r="C50" s="23">
        <v>53333</v>
      </c>
      <c r="D50" s="5">
        <f>C50/C62</f>
        <v>0.004864368415167829</v>
      </c>
      <c r="E50" s="5">
        <f t="shared" si="20"/>
        <v>14117.034373079427</v>
      </c>
      <c r="F50" s="5">
        <f t="shared" si="21"/>
        <v>6.129104203111464</v>
      </c>
      <c r="G50" s="5">
        <f aca="true" t="shared" si="27" ref="G50:G58">$C$12*0.9*D50</f>
        <v>814.9853660530493</v>
      </c>
      <c r="H50" s="5">
        <f t="shared" si="22"/>
        <v>1036.164466920156</v>
      </c>
      <c r="I50" s="5">
        <f t="shared" si="23"/>
        <v>1118.627186041447</v>
      </c>
      <c r="J50" s="5">
        <f t="shared" si="24"/>
        <v>733.6975524281788</v>
      </c>
      <c r="K50" s="5">
        <f t="shared" si="19"/>
        <v>258.9765422393276</v>
      </c>
      <c r="L50" s="5">
        <f t="shared" si="25"/>
        <v>1815.9386984574344</v>
      </c>
      <c r="M50" s="5">
        <f t="shared" si="26"/>
        <v>19901.553289422132</v>
      </c>
      <c r="N50" s="6">
        <v>650</v>
      </c>
      <c r="O50" s="5">
        <f t="shared" si="9"/>
        <v>30.617774291418666</v>
      </c>
      <c r="P50" s="6" t="s">
        <v>97</v>
      </c>
    </row>
    <row r="51" spans="2:16" ht="15">
      <c r="B51" s="4" t="s">
        <v>36</v>
      </c>
      <c r="C51" s="23">
        <v>53333</v>
      </c>
      <c r="D51" s="5">
        <f>C51/C62</f>
        <v>0.004864368415167829</v>
      </c>
      <c r="E51" s="5">
        <f t="shared" si="20"/>
        <v>14117.034373079427</v>
      </c>
      <c r="F51" s="5">
        <f t="shared" si="21"/>
        <v>6.129104203111464</v>
      </c>
      <c r="G51" s="5">
        <f t="shared" si="27"/>
        <v>814.9853660530493</v>
      </c>
      <c r="H51" s="5">
        <f t="shared" si="22"/>
        <v>1036.164466920156</v>
      </c>
      <c r="I51" s="5">
        <f t="shared" si="23"/>
        <v>1118.627186041447</v>
      </c>
      <c r="J51" s="5">
        <f t="shared" si="24"/>
        <v>733.6975524281788</v>
      </c>
      <c r="K51" s="5">
        <f t="shared" si="19"/>
        <v>258.9765422393276</v>
      </c>
      <c r="L51" s="5">
        <f t="shared" si="25"/>
        <v>1815.9386984574344</v>
      </c>
      <c r="M51" s="5">
        <f t="shared" si="26"/>
        <v>19901.553289422132</v>
      </c>
      <c r="N51" s="6">
        <v>650</v>
      </c>
      <c r="O51" s="5">
        <f t="shared" si="9"/>
        <v>30.617774291418666</v>
      </c>
      <c r="P51" s="6" t="s">
        <v>97</v>
      </c>
    </row>
    <row r="52" spans="2:16" ht="15">
      <c r="B52" s="4" t="s">
        <v>37</v>
      </c>
      <c r="C52" s="23">
        <v>53334</v>
      </c>
      <c r="D52" s="5">
        <f>C52/C62</f>
        <v>0.00486445962264566</v>
      </c>
      <c r="E52" s="5">
        <f t="shared" si="20"/>
        <v>14117.29906912827</v>
      </c>
      <c r="F52" s="5">
        <f t="shared" si="21"/>
        <v>6.129219124533531</v>
      </c>
      <c r="G52" s="5">
        <f t="shared" si="27"/>
        <v>815.0006471241694</v>
      </c>
      <c r="H52" s="5">
        <f t="shared" si="22"/>
        <v>1036.183895125337</v>
      </c>
      <c r="I52" s="5">
        <f t="shared" si="23"/>
        <v>1118.648160432275</v>
      </c>
      <c r="J52" s="5">
        <f t="shared" si="24"/>
        <v>733.7113093432675</v>
      </c>
      <c r="K52" s="5">
        <f t="shared" si="19"/>
        <v>258.9813980798436</v>
      </c>
      <c r="L52" s="5">
        <f t="shared" si="25"/>
        <v>1815.972747520837</v>
      </c>
      <c r="M52" s="5">
        <f t="shared" si="26"/>
        <v>19901.926445878533</v>
      </c>
      <c r="N52" s="6">
        <v>650</v>
      </c>
      <c r="O52" s="5">
        <f t="shared" si="9"/>
        <v>30.618348378274664</v>
      </c>
      <c r="P52" s="6" t="s">
        <v>97</v>
      </c>
    </row>
    <row r="53" spans="2:16" ht="15">
      <c r="B53" s="4" t="s">
        <v>38</v>
      </c>
      <c r="C53" s="23">
        <v>62000</v>
      </c>
      <c r="D53" s="5">
        <f>C53/C62</f>
        <v>0.005654863625530261</v>
      </c>
      <c r="E53" s="5">
        <f t="shared" si="20"/>
        <v>16411.15502842376</v>
      </c>
      <c r="F53" s="5">
        <f t="shared" si="21"/>
        <v>7.125128168168128</v>
      </c>
      <c r="G53" s="5">
        <f t="shared" si="27"/>
        <v>947.4264094517289</v>
      </c>
      <c r="H53" s="5">
        <f t="shared" si="22"/>
        <v>1204.548721224189</v>
      </c>
      <c r="I53" s="5">
        <f t="shared" si="23"/>
        <v>1300.4122313496282</v>
      </c>
      <c r="J53" s="5">
        <f t="shared" si="24"/>
        <v>852.9287355023548</v>
      </c>
      <c r="K53" s="5">
        <f t="shared" si="19"/>
        <v>301.0621119914183</v>
      </c>
      <c r="L53" s="5">
        <f t="shared" si="25"/>
        <v>2111.041930968836</v>
      </c>
      <c r="M53" s="5">
        <f t="shared" si="26"/>
        <v>23135.700297080086</v>
      </c>
      <c r="N53" s="6">
        <v>750</v>
      </c>
      <c r="O53" s="5">
        <f t="shared" si="9"/>
        <v>30.84760039610678</v>
      </c>
      <c r="P53" s="6" t="s">
        <v>97</v>
      </c>
    </row>
    <row r="54" spans="2:16" ht="15">
      <c r="B54" s="4" t="s">
        <v>39</v>
      </c>
      <c r="C54" s="23">
        <v>69453.72</v>
      </c>
      <c r="D54" s="5">
        <f>C54/C62</f>
        <v>0.006334698627189735</v>
      </c>
      <c r="E54" s="5">
        <f t="shared" si="20"/>
        <v>18384.125261624773</v>
      </c>
      <c r="F54" s="5">
        <f t="shared" si="21"/>
        <v>7.981720270259066</v>
      </c>
      <c r="G54" s="5">
        <f t="shared" si="27"/>
        <v>1061.3272348817054</v>
      </c>
      <c r="H54" s="5">
        <f t="shared" si="22"/>
        <v>1349.3611227461754</v>
      </c>
      <c r="I54" s="5">
        <f t="shared" si="23"/>
        <v>1456.7494677537466</v>
      </c>
      <c r="J54" s="5">
        <f t="shared" si="24"/>
        <v>955.4689286376549</v>
      </c>
      <c r="K54" s="5">
        <f t="shared" si="19"/>
        <v>337.2561875622679</v>
      </c>
      <c r="L54" s="5">
        <f t="shared" si="25"/>
        <v>2364.8341158349817</v>
      </c>
      <c r="M54" s="5">
        <f t="shared" si="26"/>
        <v>25917.104039311565</v>
      </c>
      <c r="N54" s="6">
        <v>870</v>
      </c>
      <c r="O54" s="5">
        <f t="shared" si="9"/>
        <v>29.789774757829385</v>
      </c>
      <c r="P54" s="6" t="s">
        <v>97</v>
      </c>
    </row>
    <row r="55" spans="2:16" ht="15">
      <c r="B55" s="4" t="s">
        <v>40</v>
      </c>
      <c r="C55" s="23">
        <v>69453.72</v>
      </c>
      <c r="D55" s="5">
        <f>C55/C62</f>
        <v>0.006334698627189735</v>
      </c>
      <c r="E55" s="5">
        <f t="shared" si="20"/>
        <v>18384.125261624773</v>
      </c>
      <c r="F55" s="5">
        <f t="shared" si="21"/>
        <v>7.981720270259066</v>
      </c>
      <c r="G55" s="5">
        <f t="shared" si="27"/>
        <v>1061.3272348817054</v>
      </c>
      <c r="H55" s="5">
        <f t="shared" si="22"/>
        <v>1349.3611227461754</v>
      </c>
      <c r="I55" s="5">
        <f t="shared" si="23"/>
        <v>1456.7494677537466</v>
      </c>
      <c r="J55" s="5">
        <f t="shared" si="24"/>
        <v>955.4689286376549</v>
      </c>
      <c r="K55" s="5">
        <f t="shared" si="19"/>
        <v>337.2561875622679</v>
      </c>
      <c r="L55" s="5">
        <f t="shared" si="25"/>
        <v>2364.8341158349817</v>
      </c>
      <c r="M55" s="5">
        <f t="shared" si="26"/>
        <v>25917.104039311565</v>
      </c>
      <c r="N55" s="6">
        <v>870</v>
      </c>
      <c r="O55" s="5">
        <f t="shared" si="9"/>
        <v>29.789774757829385</v>
      </c>
      <c r="P55" s="6" t="s">
        <v>97</v>
      </c>
    </row>
    <row r="56" spans="2:16" ht="15">
      <c r="B56" s="4" t="s">
        <v>41</v>
      </c>
      <c r="C56" s="23">
        <v>80147</v>
      </c>
      <c r="D56" s="5">
        <f>C56/C62</f>
        <v>0.007310005725731835</v>
      </c>
      <c r="E56" s="5">
        <f t="shared" si="20"/>
        <v>21214.594226823858</v>
      </c>
      <c r="F56" s="5">
        <f t="shared" si="21"/>
        <v>9.210607214422113</v>
      </c>
      <c r="G56" s="5">
        <f t="shared" si="27"/>
        <v>1224.7320070698017</v>
      </c>
      <c r="H56" s="5">
        <f t="shared" si="22"/>
        <v>1557.1123606444366</v>
      </c>
      <c r="I56" s="5">
        <f t="shared" si="23"/>
        <v>1681.034501709333</v>
      </c>
      <c r="J56" s="5">
        <f t="shared" si="24"/>
        <v>1102.5754736178585</v>
      </c>
      <c r="K56" s="5">
        <f t="shared" si="19"/>
        <v>389.18104983510005</v>
      </c>
      <c r="L56" s="5">
        <f t="shared" si="25"/>
        <v>2728.930284538053</v>
      </c>
      <c r="M56" s="5">
        <f t="shared" si="26"/>
        <v>29907.37051145286</v>
      </c>
      <c r="N56" s="6">
        <v>1000</v>
      </c>
      <c r="O56" s="5">
        <f t="shared" si="9"/>
        <v>29.90737051145286</v>
      </c>
      <c r="P56" s="6" t="s">
        <v>97</v>
      </c>
    </row>
    <row r="57" spans="2:16" ht="15">
      <c r="B57" s="4" t="s">
        <v>42</v>
      </c>
      <c r="C57" s="23">
        <v>80147</v>
      </c>
      <c r="D57" s="5">
        <f>C57/C62</f>
        <v>0.007310005725731835</v>
      </c>
      <c r="E57" s="5">
        <f t="shared" si="20"/>
        <v>21214.594226823858</v>
      </c>
      <c r="F57" s="5">
        <f t="shared" si="21"/>
        <v>9.210607214422113</v>
      </c>
      <c r="G57" s="5">
        <f t="shared" si="27"/>
        <v>1224.7320070698017</v>
      </c>
      <c r="H57" s="5">
        <f t="shared" si="22"/>
        <v>1557.1123606444366</v>
      </c>
      <c r="I57" s="5">
        <f t="shared" si="23"/>
        <v>1681.034501709333</v>
      </c>
      <c r="J57" s="5">
        <f t="shared" si="24"/>
        <v>1102.5754736178585</v>
      </c>
      <c r="K57" s="5">
        <f t="shared" si="19"/>
        <v>389.18104983510005</v>
      </c>
      <c r="L57" s="5">
        <f t="shared" si="25"/>
        <v>2728.930284538053</v>
      </c>
      <c r="M57" s="5">
        <f t="shared" si="26"/>
        <v>29907.37051145286</v>
      </c>
      <c r="N57" s="6">
        <v>1000</v>
      </c>
      <c r="O57" s="5">
        <f t="shared" si="9"/>
        <v>29.90737051145286</v>
      </c>
      <c r="P57" s="6" t="s">
        <v>97</v>
      </c>
    </row>
    <row r="58" spans="2:16" ht="15">
      <c r="B58" s="4" t="s">
        <v>43</v>
      </c>
      <c r="C58" s="23">
        <v>80147</v>
      </c>
      <c r="D58" s="5">
        <f>C58/C62</f>
        <v>0.007310005725731835</v>
      </c>
      <c r="E58" s="5">
        <f t="shared" si="20"/>
        <v>21214.594226823858</v>
      </c>
      <c r="F58" s="5">
        <f t="shared" si="21"/>
        <v>9.210607214422113</v>
      </c>
      <c r="G58" s="5">
        <f t="shared" si="27"/>
        <v>1224.7320070698017</v>
      </c>
      <c r="H58" s="5">
        <f t="shared" si="22"/>
        <v>1557.1123606444366</v>
      </c>
      <c r="I58" s="5">
        <f t="shared" si="23"/>
        <v>1681.034501709333</v>
      </c>
      <c r="J58" s="5">
        <f t="shared" si="24"/>
        <v>1102.5754736178585</v>
      </c>
      <c r="K58" s="5">
        <f t="shared" si="19"/>
        <v>389.18104983510005</v>
      </c>
      <c r="L58" s="5">
        <f t="shared" si="25"/>
        <v>2728.930284538053</v>
      </c>
      <c r="M58" s="5">
        <f t="shared" si="26"/>
        <v>29907.37051145286</v>
      </c>
      <c r="N58" s="6">
        <v>1000</v>
      </c>
      <c r="O58" s="5">
        <f t="shared" si="9"/>
        <v>29.90737051145286</v>
      </c>
      <c r="P58" s="6" t="s">
        <v>97</v>
      </c>
    </row>
    <row r="59" spans="2:16" ht="15">
      <c r="B59" s="31" t="s">
        <v>44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3"/>
    </row>
    <row r="60" spans="2:16" ht="15">
      <c r="B60" s="4" t="s">
        <v>45</v>
      </c>
      <c r="C60" s="23">
        <v>436967.66</v>
      </c>
      <c r="D60" s="5">
        <f>C60/C62</f>
        <v>0.03985471816237216</v>
      </c>
      <c r="E60" s="5">
        <f>C10*0.9*D60</f>
        <v>115663.61307528328</v>
      </c>
      <c r="F60" s="5">
        <f>C11*0.9*D60</f>
        <v>50.216944884588926</v>
      </c>
      <c r="G60" s="5">
        <f>C12*0.9*D60</f>
        <v>6677.333889682643</v>
      </c>
      <c r="H60" s="5">
        <f>C13*0.9*D60</f>
        <v>8489.497355956873</v>
      </c>
      <c r="I60" s="5">
        <f>C14*0.9*D60</f>
        <v>9165.130480132671</v>
      </c>
      <c r="J60" s="5">
        <f>C15*0.9*D60</f>
        <v>6011.3269951487555</v>
      </c>
      <c r="K60" s="5">
        <f>C16*0.9*D60</f>
        <v>2121.8452676056127</v>
      </c>
      <c r="L60" s="5">
        <f>C17*0.9*D60</f>
        <v>14878.339560279577</v>
      </c>
      <c r="M60" s="5">
        <f>E60+F60+G60+H60+I60+J60+K60+L60</f>
        <v>163057.30356897402</v>
      </c>
      <c r="N60" s="6">
        <v>2750</v>
      </c>
      <c r="O60" s="5">
        <f t="shared" si="9"/>
        <v>59.29356493417237</v>
      </c>
      <c r="P60" s="6" t="s">
        <v>7</v>
      </c>
    </row>
    <row r="61" spans="2:16" ht="15">
      <c r="B61" s="4"/>
      <c r="C61" s="4"/>
      <c r="D61" s="4"/>
      <c r="E61" s="5"/>
      <c r="F61" s="5"/>
      <c r="G61" s="4"/>
      <c r="H61" s="4"/>
      <c r="I61" s="4"/>
      <c r="J61" s="4"/>
      <c r="K61" s="4"/>
      <c r="L61" s="4"/>
      <c r="M61" s="5"/>
      <c r="N61" s="4"/>
      <c r="O61" s="5"/>
      <c r="P61" s="6"/>
    </row>
    <row r="62" spans="2:16" ht="15">
      <c r="B62" s="7" t="s">
        <v>52</v>
      </c>
      <c r="C62" s="25">
        <f>SUM(C22:C60)</f>
        <v>10964013.3</v>
      </c>
      <c r="D62" s="8">
        <f>SUM(D22:D60)</f>
        <v>0.9999999999999997</v>
      </c>
      <c r="E62" s="9">
        <f>SUM(E22:E60)</f>
        <v>2902130.9999999995</v>
      </c>
      <c r="F62" s="9">
        <f>SUM(F22:F60)</f>
        <v>1260</v>
      </c>
      <c r="G62" s="8">
        <f>SUM(G22:G60)</f>
        <v>167541.86699999997</v>
      </c>
      <c r="H62" s="8">
        <f>SUM(H22:H30,H33:H36,H38:H46,H48:H58,H60)</f>
        <v>213011.1</v>
      </c>
      <c r="I62" s="8">
        <f>SUM(I22:I30,I33:I36,I38:I46,I48:I58,I60)</f>
        <v>229963.49999999994</v>
      </c>
      <c r="J62" s="8">
        <f>SUM(J22:J30,J33:J36,J38:J46,J48:J58,J60)</f>
        <v>150830.9999999999</v>
      </c>
      <c r="K62" s="8">
        <f>SUM(K22:K60)</f>
        <v>53239.499999999985</v>
      </c>
      <c r="L62" s="8">
        <f>SUM(L22:L60)</f>
        <v>373314.38399999996</v>
      </c>
      <c r="M62" s="9">
        <f>SUM(M22:M61)</f>
        <v>4091292.3509999993</v>
      </c>
      <c r="N62" s="5"/>
      <c r="O62" s="5"/>
      <c r="P62" s="6"/>
    </row>
    <row r="63" spans="2:16" ht="15">
      <c r="B63" s="7"/>
      <c r="C63" s="7"/>
      <c r="D63" s="8"/>
      <c r="E63" s="9"/>
      <c r="F63" s="9"/>
      <c r="G63" s="8"/>
      <c r="H63" s="8"/>
      <c r="I63" s="8"/>
      <c r="J63" s="8"/>
      <c r="K63" s="8"/>
      <c r="L63" s="8"/>
      <c r="M63" s="9"/>
      <c r="N63" s="5"/>
      <c r="O63" s="5"/>
      <c r="P63" s="6"/>
    </row>
    <row r="64" spans="2:16" ht="15">
      <c r="B64" s="10" t="s">
        <v>64</v>
      </c>
      <c r="C64" s="6" t="s">
        <v>62</v>
      </c>
      <c r="D64" s="6" t="s">
        <v>63</v>
      </c>
      <c r="E64" s="6">
        <f>C10*0.09</f>
        <v>290213.1</v>
      </c>
      <c r="F64" s="6">
        <f>C11*0.09</f>
        <v>126</v>
      </c>
      <c r="G64" s="6">
        <f>C12*0.09</f>
        <v>16754.186700000002</v>
      </c>
      <c r="H64" s="6">
        <f>C13*0.09</f>
        <v>21301.11</v>
      </c>
      <c r="I64" s="6">
        <f>C14*0.09</f>
        <v>22996.35</v>
      </c>
      <c r="J64" s="6">
        <f>C15*0.09</f>
        <v>15083.099999999999</v>
      </c>
      <c r="K64" s="6">
        <f>C16*0.09</f>
        <v>5323.95</v>
      </c>
      <c r="L64" s="6">
        <f>C17*0.09</f>
        <v>37331.4384</v>
      </c>
      <c r="M64" s="6">
        <f>E64+G64+H64+I64+J64+F64+K64+L64</f>
        <v>409129.23509999993</v>
      </c>
      <c r="N64" s="6">
        <v>2050</v>
      </c>
      <c r="O64" s="5">
        <f t="shared" si="9"/>
        <v>199.5752366341463</v>
      </c>
      <c r="P64" s="6" t="s">
        <v>91</v>
      </c>
    </row>
    <row r="65" spans="2:16" ht="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 ht="15">
      <c r="B66" s="12" t="s">
        <v>73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2:16" ht="15">
      <c r="B67" s="10" t="s">
        <v>67</v>
      </c>
      <c r="C67" s="23">
        <v>4215.35</v>
      </c>
      <c r="D67" s="5">
        <f>C67/$C$98</f>
        <v>0.07348452281212987</v>
      </c>
      <c r="E67" s="5">
        <f>$C$10*0.01*D67</f>
        <v>2369.574574147659</v>
      </c>
      <c r="F67" s="5">
        <f>$C$11*0.01*D67</f>
        <v>1.0287833193698181</v>
      </c>
      <c r="G67" s="5">
        <f>$C$12*0.01*D67</f>
        <v>136.79704608387036</v>
      </c>
      <c r="H67" s="5">
        <f>$C$13*0.01*D67</f>
        <v>173.92243374652085</v>
      </c>
      <c r="I67" s="5">
        <f>$C$14*0.01*D67</f>
        <v>187.76397846341365</v>
      </c>
      <c r="J67" s="5">
        <f>$C$15*0.01*D67</f>
        <v>123.15271178084846</v>
      </c>
      <c r="K67" s="5">
        <f aca="true" t="shared" si="28" ref="K67:K96">$C$16*0.01*D67</f>
        <v>43.469769469515434</v>
      </c>
      <c r="L67" s="5">
        <f>$C$17*0.01*D67</f>
        <v>304.8092151904913</v>
      </c>
      <c r="M67" s="5">
        <f>SUM(E67:L67)</f>
        <v>3340.518512201689</v>
      </c>
      <c r="N67" s="18">
        <v>22</v>
      </c>
      <c r="O67" s="5">
        <f>M67/N67</f>
        <v>151.84175055462222</v>
      </c>
      <c r="P67" s="6" t="s">
        <v>65</v>
      </c>
    </row>
    <row r="68" spans="2:16" ht="15">
      <c r="B68" s="10" t="s">
        <v>66</v>
      </c>
      <c r="C68" s="23">
        <v>6800</v>
      </c>
      <c r="D68" s="5">
        <f>C68/$C$98</f>
        <v>0.11854170000651977</v>
      </c>
      <c r="E68" s="5">
        <f aca="true" t="shared" si="29" ref="E68:E96">$C$10*0.01*D68</f>
        <v>3822.483804240236</v>
      </c>
      <c r="F68" s="5">
        <f aca="true" t="shared" si="30" ref="F68:F96">$C$11*0.01*D68</f>
        <v>1.6595838000912768</v>
      </c>
      <c r="G68" s="5">
        <f>$C$12*0.01*D68</f>
        <v>220.6744192938471</v>
      </c>
      <c r="H68" s="5">
        <f aca="true" t="shared" si="31" ref="H68:H96">$C$13*0.01*D68</f>
        <v>280.5633101584309</v>
      </c>
      <c r="I68" s="5">
        <f aca="true" t="shared" si="32" ref="I68:I96">$C$14*0.01*D68</f>
        <v>302.891824771659</v>
      </c>
      <c r="J68" s="5">
        <f aca="true" t="shared" si="33" ref="J68:J96">$C$15*0.01*D68</f>
        <v>198.6640350409265</v>
      </c>
      <c r="K68" s="5">
        <f t="shared" si="28"/>
        <v>70.12334263885678</v>
      </c>
      <c r="L68" s="5">
        <f aca="true" t="shared" si="34" ref="L68:L96">$C$17*0.01*D68</f>
        <v>491.7035746249636</v>
      </c>
      <c r="M68" s="5">
        <f aca="true" t="shared" si="35" ref="M68:M96">SUM(E68:L68)</f>
        <v>5388.763894569012</v>
      </c>
      <c r="N68" s="18">
        <v>27</v>
      </c>
      <c r="O68" s="5">
        <f aca="true" t="shared" si="36" ref="O68:O92">M68/N68</f>
        <v>199.58384794700046</v>
      </c>
      <c r="P68" s="6" t="s">
        <v>91</v>
      </c>
    </row>
    <row r="69" spans="2:16" ht="15">
      <c r="B69" s="10" t="s">
        <v>68</v>
      </c>
      <c r="C69" s="23">
        <v>492.69</v>
      </c>
      <c r="D69" s="5">
        <f aca="true" t="shared" si="37" ref="D69:D96">C69/$C$98</f>
        <v>0.00858886914356062</v>
      </c>
      <c r="E69" s="5">
        <f t="shared" si="29"/>
        <v>276.95581551634143</v>
      </c>
      <c r="F69" s="5">
        <f t="shared" si="30"/>
        <v>0.12024416800984869</v>
      </c>
      <c r="G69" s="5">
        <f aca="true" t="shared" si="38" ref="G69:G96">$C$12*0.01*D69</f>
        <v>15.988835241453753</v>
      </c>
      <c r="H69" s="5">
        <f t="shared" si="31"/>
        <v>20.32804960028784</v>
      </c>
      <c r="I69" s="5">
        <f t="shared" si="32"/>
        <v>21.94584899216892</v>
      </c>
      <c r="J69" s="5">
        <f t="shared" si="33"/>
        <v>14.394085797693245</v>
      </c>
      <c r="K69" s="5">
        <f t="shared" si="28"/>
        <v>5.080745541873286</v>
      </c>
      <c r="L69" s="5">
        <f t="shared" si="34"/>
        <v>35.6260932620549</v>
      </c>
      <c r="M69" s="5">
        <f t="shared" si="35"/>
        <v>390.4397181198832</v>
      </c>
      <c r="N69" s="18">
        <v>8</v>
      </c>
      <c r="O69" s="5">
        <f t="shared" si="36"/>
        <v>48.8049647649854</v>
      </c>
      <c r="P69" s="6" t="s">
        <v>28</v>
      </c>
    </row>
    <row r="70" spans="2:16" ht="15">
      <c r="B70" s="10" t="s">
        <v>69</v>
      </c>
      <c r="C70" s="23">
        <v>1032.12</v>
      </c>
      <c r="D70" s="5">
        <f t="shared" si="37"/>
        <v>0.017992538148636644</v>
      </c>
      <c r="E70" s="5">
        <f t="shared" si="29"/>
        <v>580.1855858871223</v>
      </c>
      <c r="F70" s="5">
        <f t="shared" si="30"/>
        <v>0.25189553408091303</v>
      </c>
      <c r="G70" s="5">
        <f t="shared" si="38"/>
        <v>33.49448259434786</v>
      </c>
      <c r="H70" s="5">
        <f t="shared" si="31"/>
        <v>42.584559364811724</v>
      </c>
      <c r="I70" s="5">
        <f t="shared" si="32"/>
        <v>45.97363385048892</v>
      </c>
      <c r="J70" s="5">
        <f t="shared" si="33"/>
        <v>30.153694683300152</v>
      </c>
      <c r="K70" s="5">
        <f t="shared" si="28"/>
        <v>10.643485941826007</v>
      </c>
      <c r="L70" s="5">
        <f t="shared" si="34"/>
        <v>74.63192550616432</v>
      </c>
      <c r="M70" s="5">
        <f t="shared" si="35"/>
        <v>817.9192633621423</v>
      </c>
      <c r="N70" s="18">
        <v>10</v>
      </c>
      <c r="O70" s="5">
        <f t="shared" si="36"/>
        <v>81.79192633621423</v>
      </c>
      <c r="P70" s="6" t="s">
        <v>3</v>
      </c>
    </row>
    <row r="71" spans="2:16" ht="15">
      <c r="B71" s="10" t="s">
        <v>70</v>
      </c>
      <c r="C71" s="23">
        <v>3960</v>
      </c>
      <c r="D71" s="5">
        <f t="shared" si="37"/>
        <v>0.06903310765085563</v>
      </c>
      <c r="E71" s="5">
        <f t="shared" si="29"/>
        <v>2226.0346859987258</v>
      </c>
      <c r="F71" s="5">
        <f t="shared" si="30"/>
        <v>0.9664635071119788</v>
      </c>
      <c r="G71" s="5">
        <f t="shared" si="38"/>
        <v>128.51039711818154</v>
      </c>
      <c r="H71" s="5">
        <f t="shared" si="31"/>
        <v>163.3868688569686</v>
      </c>
      <c r="I71" s="5">
        <f t="shared" si="32"/>
        <v>176.38994501408376</v>
      </c>
      <c r="J71" s="5">
        <f t="shared" si="33"/>
        <v>115.69258511206895</v>
      </c>
      <c r="K71" s="5">
        <f t="shared" si="28"/>
        <v>40.836534830863656</v>
      </c>
      <c r="L71" s="5">
        <f t="shared" si="34"/>
        <v>286.3450228698318</v>
      </c>
      <c r="M71" s="5">
        <f t="shared" si="35"/>
        <v>3138.1625033078362</v>
      </c>
      <c r="N71" s="18">
        <v>31</v>
      </c>
      <c r="O71" s="5">
        <f t="shared" si="36"/>
        <v>101.23104849380117</v>
      </c>
      <c r="P71" s="6" t="s">
        <v>92</v>
      </c>
    </row>
    <row r="72" spans="2:16" ht="15">
      <c r="B72" s="10" t="s">
        <v>71</v>
      </c>
      <c r="C72" s="23">
        <v>6968.49</v>
      </c>
      <c r="D72" s="5">
        <f t="shared" si="37"/>
        <v>0.12147891927624013</v>
      </c>
      <c r="E72" s="5">
        <f t="shared" si="29"/>
        <v>3917.1970830897117</v>
      </c>
      <c r="F72" s="5">
        <f t="shared" si="30"/>
        <v>1.700704869867362</v>
      </c>
      <c r="G72" s="5">
        <f t="shared" si="38"/>
        <v>226.14227707426184</v>
      </c>
      <c r="H72" s="5">
        <f t="shared" si="31"/>
        <v>287.51509135381235</v>
      </c>
      <c r="I72" s="5">
        <f t="shared" si="32"/>
        <v>310.396860588685</v>
      </c>
      <c r="J72" s="5">
        <f t="shared" si="33"/>
        <v>203.58652081505085</v>
      </c>
      <c r="K72" s="5">
        <f t="shared" si="28"/>
        <v>71.86085469785986</v>
      </c>
      <c r="L72" s="5">
        <f t="shared" si="34"/>
        <v>503.88697687328124</v>
      </c>
      <c r="M72" s="5">
        <f t="shared" si="35"/>
        <v>5522.28636936253</v>
      </c>
      <c r="N72" s="18">
        <v>45</v>
      </c>
      <c r="O72" s="5">
        <f t="shared" si="36"/>
        <v>122.7174748747229</v>
      </c>
      <c r="P72" s="6" t="s">
        <v>93</v>
      </c>
    </row>
    <row r="73" spans="2:16" ht="15">
      <c r="B73" s="10" t="s">
        <v>72</v>
      </c>
      <c r="C73" s="23">
        <v>10485.94</v>
      </c>
      <c r="D73" s="5">
        <f t="shared" si="37"/>
        <v>0.1827972284950538</v>
      </c>
      <c r="E73" s="5">
        <f t="shared" si="29"/>
        <v>5894.461150328656</v>
      </c>
      <c r="F73" s="5">
        <f t="shared" si="30"/>
        <v>2.5591611989307532</v>
      </c>
      <c r="G73" s="5">
        <f t="shared" si="38"/>
        <v>340.2909882720769</v>
      </c>
      <c r="H73" s="5">
        <f t="shared" si="31"/>
        <v>432.6426524298084</v>
      </c>
      <c r="I73" s="5">
        <f t="shared" si="32"/>
        <v>467.07433838913676</v>
      </c>
      <c r="J73" s="5">
        <f t="shared" si="33"/>
        <v>306.3498752348607</v>
      </c>
      <c r="K73" s="5">
        <f t="shared" si="28"/>
        <v>108.13370051624909</v>
      </c>
      <c r="L73" s="5">
        <f t="shared" si="34"/>
        <v>758.2314972504252</v>
      </c>
      <c r="M73" s="5">
        <f t="shared" si="35"/>
        <v>8309.743363620144</v>
      </c>
      <c r="N73" s="18">
        <v>62</v>
      </c>
      <c r="O73" s="5">
        <f t="shared" si="36"/>
        <v>134.02811876806683</v>
      </c>
      <c r="P73" s="6" t="s">
        <v>94</v>
      </c>
    </row>
    <row r="74" spans="2:16" ht="15">
      <c r="B74" s="4" t="s">
        <v>112</v>
      </c>
      <c r="C74" s="23">
        <v>610.46</v>
      </c>
      <c r="D74" s="5">
        <f t="shared" si="37"/>
        <v>0.010641906792055891</v>
      </c>
      <c r="E74" s="5">
        <f t="shared" si="29"/>
        <v>343.15786222595506</v>
      </c>
      <c r="F74" s="5">
        <f t="shared" si="30"/>
        <v>0.14898669508878248</v>
      </c>
      <c r="G74" s="5">
        <f t="shared" si="38"/>
        <v>19.81072147090028</v>
      </c>
      <c r="H74" s="5">
        <f t="shared" si="31"/>
        <v>25.187158576369963</v>
      </c>
      <c r="I74" s="5">
        <f t="shared" si="32"/>
        <v>27.19166813972161</v>
      </c>
      <c r="J74" s="5">
        <f t="shared" si="33"/>
        <v>17.83477159280647</v>
      </c>
      <c r="K74" s="5">
        <f t="shared" si="28"/>
        <v>6.295219962840663</v>
      </c>
      <c r="L74" s="5">
        <f t="shared" si="34"/>
        <v>44.14196531846402</v>
      </c>
      <c r="M74" s="5">
        <f t="shared" si="35"/>
        <v>483.7683539821469</v>
      </c>
      <c r="N74" s="18">
        <v>6</v>
      </c>
      <c r="O74" s="5">
        <f t="shared" si="36"/>
        <v>80.62805899702448</v>
      </c>
      <c r="P74" s="6" t="s">
        <v>3</v>
      </c>
    </row>
    <row r="75" spans="2:16" ht="15">
      <c r="B75" s="4" t="s">
        <v>113</v>
      </c>
      <c r="C75" s="23">
        <v>1529.08</v>
      </c>
      <c r="D75" s="5">
        <f t="shared" si="37"/>
        <v>0.02665584450676018</v>
      </c>
      <c r="E75" s="5">
        <f t="shared" si="29"/>
        <v>859.5416963805382</v>
      </c>
      <c r="F75" s="5">
        <f t="shared" si="30"/>
        <v>0.37318182309464254</v>
      </c>
      <c r="G75" s="5">
        <f t="shared" si="38"/>
        <v>49.62188839026995</v>
      </c>
      <c r="H75" s="5">
        <f t="shared" si="31"/>
        <v>63.08878622015493</v>
      </c>
      <c r="I75" s="5">
        <f t="shared" si="32"/>
        <v>68.10968109144828</v>
      </c>
      <c r="J75" s="5">
        <f t="shared" si="33"/>
        <v>44.67252980887939</v>
      </c>
      <c r="K75" s="5">
        <f t="shared" si="28"/>
        <v>15.768264817973986</v>
      </c>
      <c r="L75" s="5">
        <f t="shared" si="34"/>
        <v>110.56677968934402</v>
      </c>
      <c r="M75" s="5">
        <f t="shared" si="35"/>
        <v>1211.7428082217032</v>
      </c>
      <c r="N75" s="18">
        <v>12</v>
      </c>
      <c r="O75" s="5">
        <f t="shared" si="36"/>
        <v>100.97856735180859</v>
      </c>
      <c r="P75" s="6" t="s">
        <v>92</v>
      </c>
    </row>
    <row r="76" spans="2:16" ht="15">
      <c r="B76" s="4" t="s">
        <v>114</v>
      </c>
      <c r="C76" s="23">
        <v>2050</v>
      </c>
      <c r="D76" s="5">
        <f t="shared" si="37"/>
        <v>0.035736836031377284</v>
      </c>
      <c r="E76" s="5">
        <f t="shared" si="29"/>
        <v>1152.3664409841888</v>
      </c>
      <c r="F76" s="5">
        <f t="shared" si="30"/>
        <v>0.500315704439282</v>
      </c>
      <c r="G76" s="5">
        <f t="shared" si="38"/>
        <v>66.52684699299802</v>
      </c>
      <c r="H76" s="5">
        <f t="shared" si="31"/>
        <v>84.58158615070344</v>
      </c>
      <c r="I76" s="5">
        <f t="shared" si="32"/>
        <v>91.31297658557367</v>
      </c>
      <c r="J76" s="5">
        <f t="shared" si="33"/>
        <v>59.89136350498519</v>
      </c>
      <c r="K76" s="5">
        <f t="shared" si="28"/>
        <v>21.140125354361235</v>
      </c>
      <c r="L76" s="5">
        <f t="shared" si="34"/>
        <v>148.23416587958462</v>
      </c>
      <c r="M76" s="5">
        <f t="shared" si="35"/>
        <v>1624.5538211568348</v>
      </c>
      <c r="N76" s="18">
        <v>13</v>
      </c>
      <c r="O76" s="5">
        <f t="shared" si="36"/>
        <v>124.96567855052575</v>
      </c>
      <c r="P76" s="6" t="s">
        <v>93</v>
      </c>
    </row>
    <row r="77" spans="2:16" ht="15">
      <c r="B77" s="4" t="s">
        <v>75</v>
      </c>
      <c r="C77" s="23">
        <v>440</v>
      </c>
      <c r="D77" s="5">
        <f t="shared" si="37"/>
        <v>0.007670345294539515</v>
      </c>
      <c r="E77" s="5">
        <f t="shared" si="29"/>
        <v>247.33718733319174</v>
      </c>
      <c r="F77" s="5">
        <f t="shared" si="30"/>
        <v>0.10738483412355321</v>
      </c>
      <c r="G77" s="5">
        <f t="shared" si="38"/>
        <v>14.278933013131283</v>
      </c>
      <c r="H77" s="5">
        <f t="shared" si="31"/>
        <v>18.15409653966318</v>
      </c>
      <c r="I77" s="5">
        <f t="shared" si="32"/>
        <v>19.59888277934264</v>
      </c>
      <c r="J77" s="5">
        <f t="shared" si="33"/>
        <v>12.854731679118773</v>
      </c>
      <c r="K77" s="5">
        <f t="shared" si="28"/>
        <v>4.537392758984851</v>
      </c>
      <c r="L77" s="5">
        <f t="shared" si="34"/>
        <v>31.81611365220353</v>
      </c>
      <c r="M77" s="5">
        <f t="shared" si="35"/>
        <v>348.68472258975953</v>
      </c>
      <c r="N77" s="18">
        <v>7</v>
      </c>
      <c r="O77" s="5">
        <f t="shared" si="36"/>
        <v>49.8121032271085</v>
      </c>
      <c r="P77" s="6" t="s">
        <v>10</v>
      </c>
    </row>
    <row r="78" spans="2:16" ht="15">
      <c r="B78" s="4" t="s">
        <v>74</v>
      </c>
      <c r="C78" s="23">
        <v>1461.75</v>
      </c>
      <c r="D78" s="5">
        <f t="shared" si="37"/>
        <v>0.025482107350666215</v>
      </c>
      <c r="E78" s="5">
        <f t="shared" si="29"/>
        <v>821.6934854188478</v>
      </c>
      <c r="F78" s="5">
        <f t="shared" si="30"/>
        <v>0.356749502909327</v>
      </c>
      <c r="G78" s="5">
        <f t="shared" si="38"/>
        <v>47.43688711805603</v>
      </c>
      <c r="H78" s="5">
        <f t="shared" si="31"/>
        <v>60.31079685648329</v>
      </c>
      <c r="I78" s="5">
        <f t="shared" si="32"/>
        <v>65.11060659705478</v>
      </c>
      <c r="J78" s="5">
        <f t="shared" si="33"/>
        <v>42.70546370898151</v>
      </c>
      <c r="K78" s="5">
        <f t="shared" si="28"/>
        <v>15.073940603286601</v>
      </c>
      <c r="L78" s="5">
        <f t="shared" si="34"/>
        <v>105.69819120706478</v>
      </c>
      <c r="M78" s="5">
        <f t="shared" si="35"/>
        <v>1158.3861210126843</v>
      </c>
      <c r="N78" s="18">
        <v>19</v>
      </c>
      <c r="O78" s="5">
        <f t="shared" si="36"/>
        <v>60.96769057961496</v>
      </c>
      <c r="P78" s="6" t="s">
        <v>7</v>
      </c>
    </row>
    <row r="79" spans="2:16" ht="15">
      <c r="B79" s="4" t="s">
        <v>76</v>
      </c>
      <c r="C79" s="23">
        <v>272.14</v>
      </c>
      <c r="D79" s="5">
        <f t="shared" si="37"/>
        <v>0.004744108564672689</v>
      </c>
      <c r="E79" s="5">
        <f t="shared" si="29"/>
        <v>152.97805036557907</v>
      </c>
      <c r="F79" s="5">
        <f t="shared" si="30"/>
        <v>0.06641751990541765</v>
      </c>
      <c r="G79" s="5">
        <f t="shared" si="38"/>
        <v>8.831520068621698</v>
      </c>
      <c r="H79" s="5">
        <f t="shared" si="31"/>
        <v>11.228308709781674</v>
      </c>
      <c r="I79" s="5">
        <f t="shared" si="32"/>
        <v>12.121908999023422</v>
      </c>
      <c r="J79" s="5">
        <f t="shared" si="33"/>
        <v>7.95065154353496</v>
      </c>
      <c r="K79" s="5">
        <f t="shared" si="28"/>
        <v>2.8063774214321295</v>
      </c>
      <c r="L79" s="5">
        <f t="shared" si="34"/>
        <v>19.67826629388788</v>
      </c>
      <c r="M79" s="5">
        <f t="shared" si="35"/>
        <v>215.66150092176625</v>
      </c>
      <c r="N79" s="18">
        <v>40</v>
      </c>
      <c r="O79" s="5">
        <f t="shared" si="36"/>
        <v>5.391537523044156</v>
      </c>
      <c r="P79" s="6" t="s">
        <v>95</v>
      </c>
    </row>
    <row r="80" spans="2:16" ht="15">
      <c r="B80" s="4" t="s">
        <v>77</v>
      </c>
      <c r="C80" s="23">
        <v>378.91</v>
      </c>
      <c r="D80" s="5">
        <f t="shared" si="37"/>
        <v>0.006605387580804471</v>
      </c>
      <c r="E80" s="5">
        <f t="shared" si="29"/>
        <v>212.9966673918629</v>
      </c>
      <c r="F80" s="5">
        <f t="shared" si="30"/>
        <v>0.0924754261312626</v>
      </c>
      <c r="G80" s="5">
        <f t="shared" si="38"/>
        <v>12.296432972739941</v>
      </c>
      <c r="H80" s="5">
        <f t="shared" si="31"/>
        <v>15.633565272372214</v>
      </c>
      <c r="I80" s="5">
        <f t="shared" si="32"/>
        <v>16.877756077092545</v>
      </c>
      <c r="J80" s="5">
        <f t="shared" si="33"/>
        <v>11.069969046670215</v>
      </c>
      <c r="K80" s="5">
        <f t="shared" si="28"/>
        <v>3.9074170234248853</v>
      </c>
      <c r="L80" s="5">
        <f t="shared" si="34"/>
        <v>27.398735508991905</v>
      </c>
      <c r="M80" s="5">
        <f t="shared" si="35"/>
        <v>300.2730187192859</v>
      </c>
      <c r="N80" s="18">
        <v>20</v>
      </c>
      <c r="O80" s="5">
        <f t="shared" si="36"/>
        <v>15.013650935964296</v>
      </c>
      <c r="P80" s="6" t="s">
        <v>21</v>
      </c>
    </row>
    <row r="81" spans="2:16" ht="15">
      <c r="B81" s="4" t="s">
        <v>78</v>
      </c>
      <c r="C81" s="23">
        <v>606.89</v>
      </c>
      <c r="D81" s="5">
        <f t="shared" si="37"/>
        <v>0.010579672399552468</v>
      </c>
      <c r="E81" s="5">
        <f t="shared" si="29"/>
        <v>341.1510582287289</v>
      </c>
      <c r="F81" s="5">
        <f t="shared" si="30"/>
        <v>0.14811541359373454</v>
      </c>
      <c r="G81" s="5">
        <f t="shared" si="38"/>
        <v>19.69486740077101</v>
      </c>
      <c r="H81" s="5">
        <f t="shared" si="31"/>
        <v>25.039862838536784</v>
      </c>
      <c r="I81" s="5">
        <f t="shared" si="32"/>
        <v>27.032649931716488</v>
      </c>
      <c r="J81" s="5">
        <f t="shared" si="33"/>
        <v>17.73047297440998</v>
      </c>
      <c r="K81" s="5">
        <f t="shared" si="28"/>
        <v>6.258405207955263</v>
      </c>
      <c r="L81" s="5">
        <f t="shared" si="34"/>
        <v>43.883820941785906</v>
      </c>
      <c r="M81" s="5">
        <f t="shared" si="35"/>
        <v>480.9392529374981</v>
      </c>
      <c r="N81" s="18">
        <v>20</v>
      </c>
      <c r="O81" s="5">
        <f t="shared" si="36"/>
        <v>24.046962646874906</v>
      </c>
      <c r="P81" s="6" t="s">
        <v>30</v>
      </c>
    </row>
    <row r="82" spans="2:16" ht="30">
      <c r="B82" s="13" t="s">
        <v>79</v>
      </c>
      <c r="C82" s="23">
        <v>1217.14</v>
      </c>
      <c r="D82" s="5">
        <f t="shared" si="37"/>
        <v>0.02121791834499051</v>
      </c>
      <c r="E82" s="5">
        <f t="shared" si="29"/>
        <v>684.1908731607296</v>
      </c>
      <c r="F82" s="5">
        <f t="shared" si="30"/>
        <v>0.29705085682986715</v>
      </c>
      <c r="G82" s="5">
        <f t="shared" si="38"/>
        <v>39.498773926369566</v>
      </c>
      <c r="H82" s="5">
        <f t="shared" si="31"/>
        <v>50.21835695974009</v>
      </c>
      <c r="I82" s="5">
        <f t="shared" si="32"/>
        <v>54.21496405920251</v>
      </c>
      <c r="J82" s="5">
        <f t="shared" si="33"/>
        <v>35.559109354369596</v>
      </c>
      <c r="K82" s="5">
        <f t="shared" si="28"/>
        <v>12.551459596979138</v>
      </c>
      <c r="L82" s="5">
        <f t="shared" si="34"/>
        <v>88.01060129691591</v>
      </c>
      <c r="M82" s="5">
        <f t="shared" si="35"/>
        <v>964.5411892111363</v>
      </c>
      <c r="N82" s="18">
        <v>25</v>
      </c>
      <c r="O82" s="5">
        <f t="shared" si="36"/>
        <v>38.58164756844545</v>
      </c>
      <c r="P82" s="6" t="s">
        <v>5</v>
      </c>
    </row>
    <row r="83" spans="2:16" ht="15">
      <c r="B83" s="4" t="s">
        <v>80</v>
      </c>
      <c r="C83" s="23">
        <v>2011.43</v>
      </c>
      <c r="D83" s="5">
        <f t="shared" si="37"/>
        <v>0.03506446053589913</v>
      </c>
      <c r="E83" s="5">
        <f t="shared" si="29"/>
        <v>1130.6850879945498</v>
      </c>
      <c r="F83" s="5">
        <f t="shared" si="30"/>
        <v>0.4909024475025878</v>
      </c>
      <c r="G83" s="5">
        <f t="shared" si="38"/>
        <v>65.27516870591514</v>
      </c>
      <c r="H83" s="5">
        <f t="shared" si="31"/>
        <v>82.9902145517607</v>
      </c>
      <c r="I83" s="5">
        <f t="shared" si="32"/>
        <v>89.59495633830267</v>
      </c>
      <c r="J83" s="5">
        <f t="shared" si="33"/>
        <v>58.764529412113355</v>
      </c>
      <c r="K83" s="5">
        <f t="shared" si="28"/>
        <v>20.74238163001113</v>
      </c>
      <c r="L83" s="5">
        <f t="shared" si="34"/>
        <v>145.44519428057217</v>
      </c>
      <c r="M83" s="5">
        <f t="shared" si="35"/>
        <v>1593.9884353607276</v>
      </c>
      <c r="N83" s="6">
        <v>40</v>
      </c>
      <c r="O83" s="5">
        <f t="shared" si="36"/>
        <v>39.849710884018194</v>
      </c>
      <c r="P83" s="6" t="s">
        <v>10</v>
      </c>
    </row>
    <row r="84" spans="2:16" ht="15">
      <c r="B84" s="4" t="s">
        <v>81</v>
      </c>
      <c r="C84" s="23">
        <v>470</v>
      </c>
      <c r="D84" s="5">
        <f t="shared" si="37"/>
        <v>0.008193323382803572</v>
      </c>
      <c r="E84" s="5">
        <f t="shared" si="29"/>
        <v>264.2010864695457</v>
      </c>
      <c r="F84" s="5">
        <f t="shared" si="30"/>
        <v>0.11470652735925002</v>
      </c>
      <c r="G84" s="5">
        <f t="shared" si="38"/>
        <v>15.25249662766296</v>
      </c>
      <c r="H84" s="5">
        <f t="shared" si="31"/>
        <v>19.391875849185666</v>
      </c>
      <c r="I84" s="5">
        <f t="shared" si="32"/>
        <v>20.93517024157055</v>
      </c>
      <c r="J84" s="5">
        <f t="shared" si="33"/>
        <v>13.731190657240507</v>
      </c>
      <c r="K84" s="5">
        <f t="shared" si="28"/>
        <v>4.846760447097454</v>
      </c>
      <c r="L84" s="5">
        <f t="shared" si="34"/>
        <v>33.985394128490135</v>
      </c>
      <c r="M84" s="5">
        <f t="shared" si="35"/>
        <v>372.4586809481523</v>
      </c>
      <c r="N84" s="6">
        <v>17</v>
      </c>
      <c r="O84" s="5">
        <f t="shared" si="36"/>
        <v>21.90933417342072</v>
      </c>
      <c r="P84" s="6" t="s">
        <v>96</v>
      </c>
    </row>
    <row r="85" spans="2:16" ht="15">
      <c r="B85" s="4" t="s">
        <v>82</v>
      </c>
      <c r="C85" s="23">
        <v>780</v>
      </c>
      <c r="D85" s="5">
        <f t="shared" si="37"/>
        <v>0.013597430294865502</v>
      </c>
      <c r="E85" s="5">
        <f t="shared" si="29"/>
        <v>438.4613775452035</v>
      </c>
      <c r="F85" s="5">
        <f t="shared" si="30"/>
        <v>0.19036402412811704</v>
      </c>
      <c r="G85" s="5">
        <f t="shared" si="38"/>
        <v>25.312653977823636</v>
      </c>
      <c r="H85" s="5">
        <f t="shared" si="31"/>
        <v>32.18226204758472</v>
      </c>
      <c r="I85" s="5">
        <f t="shared" si="32"/>
        <v>34.74347401792559</v>
      </c>
      <c r="J85" s="5">
        <f t="shared" si="33"/>
        <v>22.787933431165097</v>
      </c>
      <c r="K85" s="5">
        <f t="shared" si="28"/>
        <v>8.043559890927689</v>
      </c>
      <c r="L85" s="5">
        <f t="shared" si="34"/>
        <v>56.401292383451704</v>
      </c>
      <c r="M85" s="5">
        <f t="shared" si="35"/>
        <v>618.1229173182102</v>
      </c>
      <c r="N85" s="6">
        <v>20</v>
      </c>
      <c r="O85" s="5">
        <f t="shared" si="36"/>
        <v>30.90614586591051</v>
      </c>
      <c r="P85" s="6" t="s">
        <v>97</v>
      </c>
    </row>
    <row r="86" spans="2:16" ht="15">
      <c r="B86" s="4" t="s">
        <v>83</v>
      </c>
      <c r="C86" s="23">
        <v>1090</v>
      </c>
      <c r="D86" s="5">
        <f t="shared" si="37"/>
        <v>0.019001537206927432</v>
      </c>
      <c r="E86" s="5">
        <f t="shared" si="29"/>
        <v>612.7216686208614</v>
      </c>
      <c r="F86" s="5">
        <f t="shared" si="30"/>
        <v>0.26602152089698405</v>
      </c>
      <c r="G86" s="5">
        <f t="shared" si="38"/>
        <v>35.37281132798431</v>
      </c>
      <c r="H86" s="5">
        <f t="shared" si="31"/>
        <v>44.97264824598378</v>
      </c>
      <c r="I86" s="5">
        <f t="shared" si="32"/>
        <v>48.55177779428063</v>
      </c>
      <c r="J86" s="5">
        <f t="shared" si="33"/>
        <v>31.844676205089687</v>
      </c>
      <c r="K86" s="5">
        <f t="shared" si="28"/>
        <v>11.240359334757924</v>
      </c>
      <c r="L86" s="5">
        <f t="shared" si="34"/>
        <v>78.81719063841328</v>
      </c>
      <c r="M86" s="5">
        <f t="shared" si="35"/>
        <v>863.7871536882681</v>
      </c>
      <c r="N86" s="6">
        <v>25</v>
      </c>
      <c r="O86" s="5">
        <f t="shared" si="36"/>
        <v>34.551486147530724</v>
      </c>
      <c r="P86" s="6" t="s">
        <v>5</v>
      </c>
    </row>
    <row r="87" spans="2:16" ht="15">
      <c r="B87" s="14" t="s">
        <v>84</v>
      </c>
      <c r="C87" s="23">
        <v>403.21</v>
      </c>
      <c r="D87" s="5">
        <f t="shared" si="37"/>
        <v>0.007028999832298358</v>
      </c>
      <c r="E87" s="5">
        <f t="shared" si="29"/>
        <v>226.65642569230963</v>
      </c>
      <c r="F87" s="5">
        <f t="shared" si="30"/>
        <v>0.09840599765217702</v>
      </c>
      <c r="G87" s="5">
        <f t="shared" si="38"/>
        <v>13.085019500510601</v>
      </c>
      <c r="H87" s="5">
        <f t="shared" si="31"/>
        <v>16.63616651308543</v>
      </c>
      <c r="I87" s="5">
        <f t="shared" si="32"/>
        <v>17.96014892149715</v>
      </c>
      <c r="J87" s="5">
        <f t="shared" si="33"/>
        <v>11.77990081894882</v>
      </c>
      <c r="K87" s="5">
        <f t="shared" si="28"/>
        <v>4.158004850796094</v>
      </c>
      <c r="L87" s="5">
        <f t="shared" si="34"/>
        <v>29.155852694784056</v>
      </c>
      <c r="M87" s="5">
        <f t="shared" si="35"/>
        <v>319.52992498958395</v>
      </c>
      <c r="N87" s="6">
        <v>15</v>
      </c>
      <c r="O87" s="5">
        <f t="shared" si="36"/>
        <v>21.301994999305595</v>
      </c>
      <c r="P87" s="6" t="s">
        <v>96</v>
      </c>
    </row>
    <row r="88" spans="2:16" ht="15">
      <c r="B88" s="14" t="s">
        <v>85</v>
      </c>
      <c r="C88" s="23">
        <v>512.05</v>
      </c>
      <c r="D88" s="5">
        <f t="shared" si="37"/>
        <v>0.00892636433652036</v>
      </c>
      <c r="E88" s="5">
        <f t="shared" si="29"/>
        <v>287.8386517590019</v>
      </c>
      <c r="F88" s="5">
        <f t="shared" si="30"/>
        <v>0.12496910071128503</v>
      </c>
      <c r="G88" s="5">
        <f t="shared" si="38"/>
        <v>16.617108294031528</v>
      </c>
      <c r="H88" s="5">
        <f t="shared" si="31"/>
        <v>21.126829848033022</v>
      </c>
      <c r="I88" s="5">
        <f t="shared" si="32"/>
        <v>22.808199834459998</v>
      </c>
      <c r="J88" s="5">
        <f t="shared" si="33"/>
        <v>14.95969399157447</v>
      </c>
      <c r="K88" s="5">
        <f t="shared" si="28"/>
        <v>5.280390823268619</v>
      </c>
      <c r="L88" s="5">
        <f t="shared" si="34"/>
        <v>37.02600226275185</v>
      </c>
      <c r="M88" s="5">
        <f t="shared" si="35"/>
        <v>405.7818459138327</v>
      </c>
      <c r="N88" s="6">
        <v>15</v>
      </c>
      <c r="O88" s="5">
        <f t="shared" si="36"/>
        <v>27.052123060922177</v>
      </c>
      <c r="P88" s="6" t="s">
        <v>30</v>
      </c>
    </row>
    <row r="89" spans="2:16" ht="15">
      <c r="B89" s="14" t="s">
        <v>86</v>
      </c>
      <c r="C89" s="23">
        <v>51.11</v>
      </c>
      <c r="D89" s="5">
        <f t="shared" si="37"/>
        <v>0.0008909803363725331</v>
      </c>
      <c r="E89" s="5">
        <f t="shared" si="29"/>
        <v>28.730462828635066</v>
      </c>
      <c r="F89" s="5">
        <f t="shared" si="30"/>
        <v>0.012473724709215463</v>
      </c>
      <c r="G89" s="5">
        <f t="shared" si="38"/>
        <v>1.658627877957136</v>
      </c>
      <c r="H89" s="5">
        <f t="shared" si="31"/>
        <v>2.1087633503231475</v>
      </c>
      <c r="I89" s="5">
        <f t="shared" si="32"/>
        <v>2.276588406482278</v>
      </c>
      <c r="J89" s="5">
        <f t="shared" si="33"/>
        <v>1.4931939457267283</v>
      </c>
      <c r="K89" s="5">
        <f t="shared" si="28"/>
        <v>0.5270594179811721</v>
      </c>
      <c r="L89" s="5">
        <f t="shared" si="34"/>
        <v>3.695730838100278</v>
      </c>
      <c r="M89" s="5">
        <f t="shared" si="35"/>
        <v>40.50290038991502</v>
      </c>
      <c r="N89" s="6">
        <v>3</v>
      </c>
      <c r="O89" s="5">
        <f t="shared" si="36"/>
        <v>13.50096679663834</v>
      </c>
      <c r="P89" s="6" t="s">
        <v>21</v>
      </c>
    </row>
    <row r="90" spans="2:16" ht="15">
      <c r="B90" s="14" t="s">
        <v>87</v>
      </c>
      <c r="C90" s="23">
        <v>210</v>
      </c>
      <c r="D90" s="5">
        <f t="shared" si="37"/>
        <v>0.0036608466178484045</v>
      </c>
      <c r="E90" s="5">
        <f t="shared" si="29"/>
        <v>118.04729395447788</v>
      </c>
      <c r="F90" s="5">
        <f t="shared" si="30"/>
        <v>0.051251852649877666</v>
      </c>
      <c r="G90" s="5">
        <f t="shared" si="38"/>
        <v>6.814945301721749</v>
      </c>
      <c r="H90" s="5">
        <f t="shared" si="31"/>
        <v>8.664455166657426</v>
      </c>
      <c r="I90" s="5">
        <f t="shared" si="32"/>
        <v>9.35401223559535</v>
      </c>
      <c r="J90" s="5">
        <f t="shared" si="33"/>
        <v>6.135212846852141</v>
      </c>
      <c r="K90" s="5">
        <f t="shared" si="28"/>
        <v>2.165573816788224</v>
      </c>
      <c r="L90" s="5">
        <f t="shared" si="34"/>
        <v>15.184963334006229</v>
      </c>
      <c r="M90" s="5">
        <f t="shared" si="35"/>
        <v>166.4177085087489</v>
      </c>
      <c r="N90" s="6">
        <v>7</v>
      </c>
      <c r="O90" s="5">
        <f t="shared" si="36"/>
        <v>23.773958358392697</v>
      </c>
      <c r="P90" s="6" t="s">
        <v>96</v>
      </c>
    </row>
    <row r="91" spans="2:16" ht="15">
      <c r="B91" s="14" t="s">
        <v>88</v>
      </c>
      <c r="C91" s="23">
        <v>611</v>
      </c>
      <c r="D91" s="5">
        <f t="shared" si="37"/>
        <v>0.010651320397644643</v>
      </c>
      <c r="E91" s="5">
        <f t="shared" si="29"/>
        <v>343.4614124104094</v>
      </c>
      <c r="F91" s="5">
        <f t="shared" si="30"/>
        <v>0.149118485567025</v>
      </c>
      <c r="G91" s="5">
        <f t="shared" si="38"/>
        <v>19.828245615961848</v>
      </c>
      <c r="H91" s="5">
        <f t="shared" si="31"/>
        <v>25.209438603941365</v>
      </c>
      <c r="I91" s="5">
        <f t="shared" si="32"/>
        <v>27.215721314041712</v>
      </c>
      <c r="J91" s="5">
        <f t="shared" si="33"/>
        <v>17.85054785441266</v>
      </c>
      <c r="K91" s="5">
        <f t="shared" si="28"/>
        <v>6.30078858122669</v>
      </c>
      <c r="L91" s="5">
        <f t="shared" si="34"/>
        <v>44.18101236703717</v>
      </c>
      <c r="M91" s="5">
        <f t="shared" si="35"/>
        <v>484.1962852325979</v>
      </c>
      <c r="N91" s="6">
        <v>6</v>
      </c>
      <c r="O91" s="5">
        <f t="shared" si="36"/>
        <v>80.69938087209965</v>
      </c>
      <c r="P91" s="6" t="s">
        <v>3</v>
      </c>
    </row>
    <row r="92" spans="2:16" ht="15">
      <c r="B92" s="14" t="s">
        <v>89</v>
      </c>
      <c r="C92" s="23">
        <v>1043.15</v>
      </c>
      <c r="D92" s="5">
        <f t="shared" si="37"/>
        <v>0.018184819759088398</v>
      </c>
      <c r="E92" s="5">
        <f t="shared" si="29"/>
        <v>586.3858794695886</v>
      </c>
      <c r="F92" s="5">
        <f t="shared" si="30"/>
        <v>0.2545874766272376</v>
      </c>
      <c r="G92" s="5">
        <f t="shared" si="38"/>
        <v>33.85242948329068</v>
      </c>
      <c r="H92" s="5">
        <f t="shared" si="31"/>
        <v>43.039649557612826</v>
      </c>
      <c r="I92" s="5">
        <f t="shared" si="32"/>
        <v>46.464942207434724</v>
      </c>
      <c r="J92" s="5">
        <f t="shared" si="33"/>
        <v>30.475939434256247</v>
      </c>
      <c r="K92" s="5">
        <f t="shared" si="28"/>
        <v>10.757230128488743</v>
      </c>
      <c r="L92" s="5">
        <f t="shared" si="34"/>
        <v>75.42949762794571</v>
      </c>
      <c r="M92" s="5">
        <f t="shared" si="35"/>
        <v>826.6601553852449</v>
      </c>
      <c r="N92" s="6">
        <v>8</v>
      </c>
      <c r="O92" s="5">
        <f t="shared" si="36"/>
        <v>103.33251942315562</v>
      </c>
      <c r="P92" s="6" t="s">
        <v>92</v>
      </c>
    </row>
    <row r="93" spans="2:16" ht="15">
      <c r="B93" s="14" t="s">
        <v>90</v>
      </c>
      <c r="C93" s="23">
        <v>2260.87</v>
      </c>
      <c r="D93" s="5">
        <f t="shared" si="37"/>
        <v>0.03941284901378534</v>
      </c>
      <c r="E93" s="5">
        <f t="shared" si="29"/>
        <v>1270.9027880136207</v>
      </c>
      <c r="F93" s="5">
        <f t="shared" si="30"/>
        <v>0.5517798861929948</v>
      </c>
      <c r="G93" s="5">
        <f t="shared" si="38"/>
        <v>73.37002563954118</v>
      </c>
      <c r="H93" s="5">
        <f t="shared" si="31"/>
        <v>93.281936917337</v>
      </c>
      <c r="I93" s="5">
        <f t="shared" si="32"/>
        <v>100.70574115757361</v>
      </c>
      <c r="J93" s="5">
        <f t="shared" si="33"/>
        <v>66.05199366220286</v>
      </c>
      <c r="K93" s="5">
        <f t="shared" si="28"/>
        <v>23.31467083410472</v>
      </c>
      <c r="L93" s="5">
        <f t="shared" si="34"/>
        <v>163.48203834740315</v>
      </c>
      <c r="M93" s="5">
        <f t="shared" si="35"/>
        <v>1791.660974457976</v>
      </c>
      <c r="N93" s="6">
        <v>12</v>
      </c>
      <c r="O93" s="5">
        <f>M93/N93</f>
        <v>149.30508120483134</v>
      </c>
      <c r="P93" s="6" t="s">
        <v>65</v>
      </c>
    </row>
    <row r="94" spans="2:16" ht="15">
      <c r="B94" s="30" t="s">
        <v>115</v>
      </c>
      <c r="C94" s="23">
        <v>1300</v>
      </c>
      <c r="D94" s="5">
        <f t="shared" si="37"/>
        <v>0.02266238382477584</v>
      </c>
      <c r="E94" s="5">
        <f t="shared" si="29"/>
        <v>730.7689625753393</v>
      </c>
      <c r="F94" s="5">
        <f t="shared" si="30"/>
        <v>0.31727337354686175</v>
      </c>
      <c r="G94" s="5">
        <f t="shared" si="38"/>
        <v>42.187756629706065</v>
      </c>
      <c r="H94" s="5">
        <f t="shared" si="31"/>
        <v>53.63710341264121</v>
      </c>
      <c r="I94" s="5">
        <f t="shared" si="32"/>
        <v>57.90579002987599</v>
      </c>
      <c r="J94" s="5">
        <f t="shared" si="33"/>
        <v>37.97988905194183</v>
      </c>
      <c r="K94" s="5">
        <f t="shared" si="28"/>
        <v>13.405933151546149</v>
      </c>
      <c r="L94" s="5">
        <f t="shared" si="34"/>
        <v>94.00215397241952</v>
      </c>
      <c r="M94" s="5">
        <f t="shared" si="35"/>
        <v>1030.204862197017</v>
      </c>
      <c r="N94" s="6">
        <v>20</v>
      </c>
      <c r="O94" s="5">
        <f>M94/N94</f>
        <v>51.510243109850855</v>
      </c>
      <c r="P94" s="6" t="s">
        <v>28</v>
      </c>
    </row>
    <row r="95" spans="2:16" ht="15">
      <c r="B95" s="30" t="s">
        <v>116</v>
      </c>
      <c r="C95" s="23">
        <v>1500</v>
      </c>
      <c r="D95" s="5">
        <f t="shared" si="37"/>
        <v>0.02614890441320289</v>
      </c>
      <c r="E95" s="5">
        <f t="shared" si="29"/>
        <v>843.1949568176991</v>
      </c>
      <c r="F95" s="5">
        <f t="shared" si="30"/>
        <v>0.36608466178484045</v>
      </c>
      <c r="G95" s="5">
        <f t="shared" si="38"/>
        <v>48.67818072658392</v>
      </c>
      <c r="H95" s="5">
        <f t="shared" si="31"/>
        <v>61.88896547612447</v>
      </c>
      <c r="I95" s="5">
        <f t="shared" si="32"/>
        <v>66.81437311139537</v>
      </c>
      <c r="J95" s="5">
        <f t="shared" si="33"/>
        <v>43.82294890608672</v>
      </c>
      <c r="K95" s="5">
        <f t="shared" si="28"/>
        <v>15.468384405630172</v>
      </c>
      <c r="L95" s="5">
        <f t="shared" si="34"/>
        <v>108.4640238143302</v>
      </c>
      <c r="M95" s="5">
        <f t="shared" si="35"/>
        <v>1188.6979179196348</v>
      </c>
      <c r="N95" s="6">
        <v>24</v>
      </c>
      <c r="O95" s="5">
        <f>M95/N95</f>
        <v>49.52907991331812</v>
      </c>
      <c r="P95" s="6" t="s">
        <v>28</v>
      </c>
    </row>
    <row r="96" spans="2:16" ht="15">
      <c r="B96" s="30" t="s">
        <v>117</v>
      </c>
      <c r="C96" s="23">
        <v>2600</v>
      </c>
      <c r="D96" s="5">
        <f t="shared" si="37"/>
        <v>0.04532476764955168</v>
      </c>
      <c r="E96" s="5">
        <f t="shared" si="29"/>
        <v>1461.5379251506786</v>
      </c>
      <c r="F96" s="5">
        <f t="shared" si="30"/>
        <v>0.6345467470937235</v>
      </c>
      <c r="G96" s="5">
        <f t="shared" si="38"/>
        <v>84.37551325941213</v>
      </c>
      <c r="H96" s="5">
        <f t="shared" si="31"/>
        <v>107.27420682528242</v>
      </c>
      <c r="I96" s="5">
        <f t="shared" si="32"/>
        <v>115.81158005975198</v>
      </c>
      <c r="J96" s="5">
        <f t="shared" si="33"/>
        <v>75.95977810388366</v>
      </c>
      <c r="K96" s="5">
        <f t="shared" si="28"/>
        <v>26.811866303092298</v>
      </c>
      <c r="L96" s="5">
        <f t="shared" si="34"/>
        <v>188.00430794483904</v>
      </c>
      <c r="M96" s="5">
        <f t="shared" si="35"/>
        <v>2060.409724394034</v>
      </c>
      <c r="N96" s="6">
        <v>30</v>
      </c>
      <c r="O96" s="5">
        <f>M96/N96</f>
        <v>68.68032414646781</v>
      </c>
      <c r="P96" s="6" t="s">
        <v>135</v>
      </c>
    </row>
    <row r="97" spans="2:16" ht="15">
      <c r="B97" s="4"/>
      <c r="C97" s="2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5">
      <c r="B98" s="4" t="s">
        <v>52</v>
      </c>
      <c r="C98" s="26">
        <f>SUM(C67:C97)</f>
        <v>57363.78000000001</v>
      </c>
      <c r="D98" s="11"/>
      <c r="E98" s="9">
        <f>SUM(E67:E97)</f>
        <v>32245.899999999994</v>
      </c>
      <c r="F98" s="9">
        <f>SUM(F67:F97)</f>
        <v>13.999999999999998</v>
      </c>
      <c r="G98" s="9">
        <f>SUM(G67:G97)</f>
        <v>1861.5763000000002</v>
      </c>
      <c r="H98" s="9">
        <f>H67+H68+H69+H70+H71+H72+H73+H74+H75+H76+H77+H78+H79+H81+H80+H82+H83+H84+H85+H86+H87+H88+H89+H90+H91+H92+H93+H94+H95+H96</f>
        <v>2366.79</v>
      </c>
      <c r="I98" s="9">
        <f>SUM(I67:I97)</f>
        <v>2555.1499999999996</v>
      </c>
      <c r="J98" s="9">
        <f>SUM(J67:J96)</f>
        <v>1675.9000000000003</v>
      </c>
      <c r="K98" s="9">
        <f>SUM(K67:K97)</f>
        <v>591.5500000000001</v>
      </c>
      <c r="L98" s="9">
        <f>SUM(L67:L97)</f>
        <v>4147.937599999998</v>
      </c>
      <c r="M98" s="9">
        <f>SUM(M67:M97)</f>
        <v>45458.8039</v>
      </c>
      <c r="N98" s="4"/>
      <c r="O98" s="4"/>
      <c r="P98" s="4"/>
    </row>
    <row r="100" spans="2:5" ht="15">
      <c r="B100" t="s">
        <v>98</v>
      </c>
      <c r="E100" s="16"/>
    </row>
    <row r="101" ht="15">
      <c r="B101" t="s">
        <v>99</v>
      </c>
    </row>
    <row r="102" ht="15">
      <c r="B102" t="s">
        <v>100</v>
      </c>
    </row>
    <row r="103" ht="15">
      <c r="B103" t="s">
        <v>101</v>
      </c>
    </row>
    <row r="104" ht="15">
      <c r="B104" t="s">
        <v>102</v>
      </c>
    </row>
    <row r="105" ht="15">
      <c r="B105" t="s">
        <v>103</v>
      </c>
    </row>
    <row r="107" spans="2:4" ht="15">
      <c r="B107" t="s">
        <v>104</v>
      </c>
      <c r="C107" s="15"/>
      <c r="D107" t="s">
        <v>106</v>
      </c>
    </row>
  </sheetData>
  <sheetProtection/>
  <mergeCells count="18">
    <mergeCell ref="B1:S1"/>
    <mergeCell ref="B2:S2"/>
    <mergeCell ref="A3:P3"/>
    <mergeCell ref="B5:G5"/>
    <mergeCell ref="B6:R6"/>
    <mergeCell ref="B47:P47"/>
    <mergeCell ref="B59:P59"/>
    <mergeCell ref="O19:O20"/>
    <mergeCell ref="P19:P20"/>
    <mergeCell ref="B21:P21"/>
    <mergeCell ref="B31:P31"/>
    <mergeCell ref="B32:P32"/>
    <mergeCell ref="B37:P37"/>
    <mergeCell ref="B19:B20"/>
    <mergeCell ref="C19:C20"/>
    <mergeCell ref="D19:D20"/>
    <mergeCell ref="E19:M19"/>
    <mergeCell ref="N19:N20"/>
  </mergeCells>
  <printOptions/>
  <pageMargins left="0.7086614173228347" right="0.7086614173228347" top="0.3937007874015748" bottom="0.3937007874015748" header="0.31496062992125984" footer="0.31496062992125984"/>
  <pageSetup fitToHeight="3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zoomScalePageLayoutView="0" workbookViewId="0" topLeftCell="A73">
      <selection activeCell="M97" sqref="M97"/>
    </sheetView>
  </sheetViews>
  <sheetFormatPr defaultColWidth="9.140625" defaultRowHeight="15"/>
  <cols>
    <col min="1" max="1" width="4.28125" style="0" customWidth="1"/>
    <col min="2" max="2" width="42.140625" style="0" customWidth="1"/>
    <col min="3" max="3" width="13.140625" style="0" customWidth="1"/>
    <col min="4" max="4" width="14.00390625" style="0" customWidth="1"/>
    <col min="5" max="5" width="12.140625" style="0" customWidth="1"/>
    <col min="6" max="12" width="10.57421875" style="0" customWidth="1"/>
    <col min="13" max="13" width="12.7109375" style="0" customWidth="1"/>
    <col min="14" max="14" width="14.421875" style="0" customWidth="1"/>
    <col min="15" max="15" width="16.140625" style="0" customWidth="1"/>
  </cols>
  <sheetData>
    <row r="1" spans="2:18" ht="15">
      <c r="B1" s="38" t="s">
        <v>46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8" ht="15">
      <c r="B2" s="38" t="s">
        <v>118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9" ht="49.5" customHeight="1">
      <c r="A3" s="39" t="s">
        <v>119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"/>
      <c r="Q3" s="2"/>
      <c r="R3" s="2"/>
      <c r="S3" s="2"/>
    </row>
    <row r="4" ht="15">
      <c r="A4" t="s">
        <v>47</v>
      </c>
    </row>
    <row r="5" spans="2:7" ht="15">
      <c r="B5" s="40" t="s">
        <v>123</v>
      </c>
      <c r="C5" s="40"/>
      <c r="D5" s="40"/>
      <c r="E5" s="40"/>
      <c r="F5" s="40"/>
      <c r="G5" s="40"/>
    </row>
    <row r="6" spans="2:17" ht="15">
      <c r="B6" s="40" t="s">
        <v>122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8" spans="2:14" ht="15">
      <c r="B8" s="1" t="s">
        <v>124</v>
      </c>
      <c r="C8" s="1"/>
      <c r="D8" s="1"/>
      <c r="E8" s="17">
        <v>4546493.42</v>
      </c>
      <c r="F8" s="1"/>
      <c r="G8" s="1"/>
      <c r="H8" s="1"/>
      <c r="I8" s="1"/>
      <c r="J8" s="1"/>
      <c r="K8" s="1"/>
      <c r="L8" s="1"/>
      <c r="M8" s="1"/>
      <c r="N8" s="1"/>
    </row>
    <row r="9" spans="2:4" ht="15">
      <c r="B9" t="s">
        <v>105</v>
      </c>
      <c r="C9" s="17">
        <f>61583.76+47936.24</f>
        <v>109520</v>
      </c>
      <c r="D9" s="17"/>
    </row>
    <row r="10" spans="2:3" ht="15">
      <c r="B10" t="s">
        <v>61</v>
      </c>
      <c r="C10" s="20">
        <f>2771008+836844</f>
        <v>3607852</v>
      </c>
    </row>
    <row r="11" spans="2:3" ht="15">
      <c r="B11" t="s">
        <v>107</v>
      </c>
      <c r="C11" s="20">
        <f>0</f>
        <v>0</v>
      </c>
    </row>
    <row r="12" spans="2:3" ht="15">
      <c r="B12" t="s">
        <v>49</v>
      </c>
      <c r="C12" s="20">
        <f>239727.01-11538.37-50.73-38744.04-148.12-84.11</f>
        <v>189161.64</v>
      </c>
    </row>
    <row r="13" spans="2:5" ht="15">
      <c r="B13" t="s">
        <v>121</v>
      </c>
      <c r="C13" s="20">
        <f>260621.32-476.79-2053.32-132.95</f>
        <v>257958.25999999998</v>
      </c>
      <c r="E13" s="20"/>
    </row>
    <row r="14" spans="2:11" ht="15">
      <c r="B14" t="s">
        <v>50</v>
      </c>
      <c r="C14" s="20">
        <v>121928</v>
      </c>
      <c r="E14" s="16"/>
      <c r="F14" s="16"/>
      <c r="G14" s="16"/>
      <c r="H14" s="16"/>
      <c r="K14" s="16"/>
    </row>
    <row r="15" spans="2:11" ht="15">
      <c r="B15" t="s">
        <v>109</v>
      </c>
      <c r="C15" s="20">
        <f>208371.56-617.9</f>
        <v>207753.66</v>
      </c>
      <c r="E15" s="16"/>
      <c r="F15" s="16"/>
      <c r="G15" s="16"/>
      <c r="H15" s="16"/>
      <c r="K15" s="16"/>
    </row>
    <row r="16" spans="2:11" ht="15">
      <c r="B16" t="s">
        <v>51</v>
      </c>
      <c r="C16" s="20">
        <f>75865</f>
        <v>75865</v>
      </c>
      <c r="K16" s="16"/>
    </row>
    <row r="17" spans="2:3" ht="30">
      <c r="B17" s="21" t="s">
        <v>125</v>
      </c>
      <c r="C17" s="22">
        <f>C10+C12+C13+C14+C15+C16</f>
        <v>4460518.56</v>
      </c>
    </row>
    <row r="18" spans="2:15" ht="39.75" customHeight="1">
      <c r="B18" s="41" t="s">
        <v>0</v>
      </c>
      <c r="C18" s="34" t="s">
        <v>53</v>
      </c>
      <c r="D18" s="34" t="s">
        <v>60</v>
      </c>
      <c r="E18" s="34" t="s">
        <v>57</v>
      </c>
      <c r="F18" s="34"/>
      <c r="G18" s="34"/>
      <c r="H18" s="34"/>
      <c r="I18" s="34"/>
      <c r="J18" s="34"/>
      <c r="K18" s="34"/>
      <c r="L18" s="34"/>
      <c r="M18" s="34" t="s">
        <v>55</v>
      </c>
      <c r="N18" s="34" t="s">
        <v>56</v>
      </c>
      <c r="O18" s="34" t="s">
        <v>48</v>
      </c>
    </row>
    <row r="19" spans="2:15" ht="55.5" customHeight="1">
      <c r="B19" s="41"/>
      <c r="C19" s="34"/>
      <c r="D19" s="34"/>
      <c r="E19" s="3" t="s">
        <v>58</v>
      </c>
      <c r="F19" s="3" t="s">
        <v>107</v>
      </c>
      <c r="G19" s="3" t="s">
        <v>59</v>
      </c>
      <c r="H19" s="3" t="s">
        <v>108</v>
      </c>
      <c r="I19" s="3" t="s">
        <v>50</v>
      </c>
      <c r="J19" s="3" t="s">
        <v>109</v>
      </c>
      <c r="K19" s="3" t="s">
        <v>51</v>
      </c>
      <c r="L19" s="3" t="s">
        <v>54</v>
      </c>
      <c r="M19" s="34"/>
      <c r="N19" s="34"/>
      <c r="O19" s="34"/>
    </row>
    <row r="20" spans="2:15" ht="15">
      <c r="B20" s="31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</row>
    <row r="21" spans="2:15" ht="15">
      <c r="B21" s="4" t="s">
        <v>2</v>
      </c>
      <c r="C21" s="23">
        <f>94823.84+142000*3+144500*3</f>
        <v>954323.84</v>
      </c>
      <c r="D21" s="5">
        <f>C21/C62</f>
        <v>0.08399249453439735</v>
      </c>
      <c r="E21" s="5">
        <f>D21*0.9*$C$10</f>
        <v>272729.2404518231</v>
      </c>
      <c r="F21" s="5"/>
      <c r="G21" s="5">
        <f>$C$12*0.9*D21</f>
        <v>14299.342212435877</v>
      </c>
      <c r="H21" s="5">
        <f>$C$13*0.9*D21</f>
        <v>19499.901968837385</v>
      </c>
      <c r="I21" s="5">
        <f>$C$14*0.9*D21</f>
        <v>9216.933186231</v>
      </c>
      <c r="J21" s="5">
        <f>$C$15*0.9*D21</f>
        <v>15704.77333684594</v>
      </c>
      <c r="K21" s="5">
        <f>$C$16*0.9*D21</f>
        <v>5734.881538066849</v>
      </c>
      <c r="L21" s="5">
        <f>K21+E21+F21+G21+H21+I21+J21</f>
        <v>337185.0726942401</v>
      </c>
      <c r="M21" s="6">
        <v>2800</v>
      </c>
      <c r="N21" s="5">
        <f>L21/M21</f>
        <v>120.42324024794289</v>
      </c>
      <c r="O21" s="6" t="s">
        <v>93</v>
      </c>
    </row>
    <row r="22" spans="2:15" ht="15">
      <c r="B22" s="4" t="s">
        <v>4</v>
      </c>
      <c r="C22" s="23">
        <v>167890</v>
      </c>
      <c r="D22" s="5">
        <f>C22/C62</f>
        <v>0.014776430511659408</v>
      </c>
      <c r="E22" s="5">
        <f>D22*0.9*$C$10</f>
        <v>47980.05693691628</v>
      </c>
      <c r="F22" s="5"/>
      <c r="G22" s="5">
        <f>$C$12*0.9*D22</f>
        <v>2515.6204460383797</v>
      </c>
      <c r="H22" s="5">
        <f>$C$13*0.9*D22</f>
        <v>3430.532073418713</v>
      </c>
      <c r="I22" s="5">
        <f aca="true" t="shared" si="0" ref="I22:I30">$C$14*0.9*D22</f>
        <v>1621.4945574830474</v>
      </c>
      <c r="J22" s="5">
        <f aca="true" t="shared" si="1" ref="J22:J30">$C$15*0.9*D22</f>
        <v>2762.871768479623</v>
      </c>
      <c r="K22" s="5">
        <f aca="true" t="shared" si="2" ref="K22:K30">$C$16*0.9*D22</f>
        <v>1008.9125106903368</v>
      </c>
      <c r="L22" s="5">
        <f aca="true" t="shared" si="3" ref="L22:L30">K22+E22+F22+G22+H22+I22+J22</f>
        <v>59319.48829302638</v>
      </c>
      <c r="M22" s="6">
        <v>1200</v>
      </c>
      <c r="N22" s="5">
        <f aca="true" t="shared" si="4" ref="N22:N30">L22/M22</f>
        <v>49.432906910855316</v>
      </c>
      <c r="O22" s="6" t="s">
        <v>28</v>
      </c>
    </row>
    <row r="23" spans="2:15" ht="15">
      <c r="B23" s="4" t="s">
        <v>6</v>
      </c>
      <c r="C23" s="23">
        <v>1843036.47</v>
      </c>
      <c r="D23" s="5">
        <f>C23/C62</f>
        <v>0.1622103778033775</v>
      </c>
      <c r="E23" s="5">
        <f>D23*0.9*$C$10</f>
        <v>526707.9323808041</v>
      </c>
      <c r="F23" s="5"/>
      <c r="G23" s="5">
        <f>$C$12*0.9*D23</f>
        <v>27615.58298127584</v>
      </c>
      <c r="H23" s="5">
        <f aca="true" t="shared" si="5" ref="H23:H30">$C$13*0.9*D23</f>
        <v>37659.156130891686</v>
      </c>
      <c r="I23" s="5">
        <f t="shared" si="0"/>
        <v>17800.18825032919</v>
      </c>
      <c r="J23" s="5">
        <f t="shared" si="1"/>
        <v>30329.81971077099</v>
      </c>
      <c r="K23" s="5">
        <f t="shared" si="2"/>
        <v>11075.481280847911</v>
      </c>
      <c r="L23" s="5">
        <f t="shared" si="3"/>
        <v>651188.1607349197</v>
      </c>
      <c r="M23" s="6">
        <v>6500</v>
      </c>
      <c r="N23" s="5">
        <f t="shared" si="4"/>
        <v>100.18279395921842</v>
      </c>
      <c r="O23" s="6" t="s">
        <v>92</v>
      </c>
    </row>
    <row r="24" spans="2:15" ht="15">
      <c r="B24" s="4" t="s">
        <v>8</v>
      </c>
      <c r="C24" s="23">
        <v>577245.36</v>
      </c>
      <c r="D24" s="5">
        <f>C24/C62</f>
        <v>0.050804848116134484</v>
      </c>
      <c r="E24" s="5">
        <f aca="true" t="shared" si="6" ref="E24:E29">D24*0.9*$C$10</f>
        <v>164966.73559694283</v>
      </c>
      <c r="F24" s="5"/>
      <c r="G24" s="5">
        <f aca="true" t="shared" si="7" ref="G24:G30">$C$12*0.9*D24</f>
        <v>8649.295550639019</v>
      </c>
      <c r="H24" s="5">
        <f t="shared" si="5"/>
        <v>11794.977197642096</v>
      </c>
      <c r="I24" s="5">
        <f t="shared" si="0"/>
        <v>5575.080168993641</v>
      </c>
      <c r="J24" s="5">
        <f t="shared" si="1"/>
        <v>9499.40382768394</v>
      </c>
      <c r="K24" s="5">
        <f t="shared" si="2"/>
        <v>3468.8788220974884</v>
      </c>
      <c r="L24" s="5">
        <f t="shared" si="3"/>
        <v>203954.37116399902</v>
      </c>
      <c r="M24" s="6">
        <v>3400</v>
      </c>
      <c r="N24" s="5">
        <f t="shared" si="4"/>
        <v>59.98657975411736</v>
      </c>
      <c r="O24" s="6" t="s">
        <v>7</v>
      </c>
    </row>
    <row r="25" spans="2:15" ht="15">
      <c r="B25" s="4" t="s">
        <v>9</v>
      </c>
      <c r="C25" s="23">
        <v>31048.29</v>
      </c>
      <c r="D25" s="5">
        <f>C25/C62</f>
        <v>0.002732639821852699</v>
      </c>
      <c r="E25" s="5">
        <f t="shared" si="6"/>
        <v>8873.064041895814</v>
      </c>
      <c r="F25" s="5"/>
      <c r="G25" s="5">
        <f t="shared" si="7"/>
        <v>465.219567207868</v>
      </c>
      <c r="H25" s="5">
        <f t="shared" si="5"/>
        <v>634.4163122866489</v>
      </c>
      <c r="I25" s="5">
        <f t="shared" si="0"/>
        <v>299.8667773789703</v>
      </c>
      <c r="J25" s="5">
        <f t="shared" si="1"/>
        <v>510.94433200648155</v>
      </c>
      <c r="K25" s="5">
        <f t="shared" si="2"/>
        <v>186.5805480763695</v>
      </c>
      <c r="L25" s="5">
        <f t="shared" si="3"/>
        <v>10970.091578852154</v>
      </c>
      <c r="M25" s="6">
        <v>185</v>
      </c>
      <c r="N25" s="5">
        <f t="shared" si="4"/>
        <v>59.297792318119754</v>
      </c>
      <c r="O25" s="6" t="s">
        <v>7</v>
      </c>
    </row>
    <row r="26" spans="2:15" ht="15">
      <c r="B26" s="4" t="s">
        <v>11</v>
      </c>
      <c r="C26" s="23">
        <v>415000</v>
      </c>
      <c r="D26" s="5">
        <f>C26/C62</f>
        <v>0.036525216882117184</v>
      </c>
      <c r="E26" s="5">
        <f t="shared" si="6"/>
        <v>118599.81910072223</v>
      </c>
      <c r="F26" s="5"/>
      <c r="G26" s="5">
        <f t="shared" si="7"/>
        <v>6218.252934099277</v>
      </c>
      <c r="H26" s="5">
        <f t="shared" si="5"/>
        <v>8479.783253730217</v>
      </c>
      <c r="I26" s="5">
        <f t="shared" si="0"/>
        <v>4008.1019796025057</v>
      </c>
      <c r="J26" s="5">
        <f t="shared" si="1"/>
        <v>6829.42274059827</v>
      </c>
      <c r="K26" s="5">
        <f t="shared" si="2"/>
        <v>2493.8870208856383</v>
      </c>
      <c r="L26" s="5">
        <f t="shared" si="3"/>
        <v>146629.26702963814</v>
      </c>
      <c r="M26" s="6">
        <v>2480</v>
      </c>
      <c r="N26" s="5">
        <f>L26/M26</f>
        <v>59.12470444743473</v>
      </c>
      <c r="O26" s="6" t="s">
        <v>7</v>
      </c>
    </row>
    <row r="27" spans="2:15" ht="15">
      <c r="B27" s="4" t="s">
        <v>12</v>
      </c>
      <c r="C27" s="23">
        <v>1874500</v>
      </c>
      <c r="D27" s="5">
        <f>C27/C62</f>
        <v>0.1649795639651293</v>
      </c>
      <c r="E27" s="5">
        <f t="shared" si="6"/>
        <v>535699.6648296478</v>
      </c>
      <c r="F27" s="5"/>
      <c r="G27" s="5">
        <f t="shared" si="7"/>
        <v>28087.02439751589</v>
      </c>
      <c r="H27" s="5">
        <f t="shared" si="5"/>
        <v>38302.057130403104</v>
      </c>
      <c r="I27" s="5">
        <f t="shared" si="0"/>
        <v>18104.065447626257</v>
      </c>
      <c r="J27" s="5">
        <f t="shared" si="1"/>
        <v>30847.597415063752</v>
      </c>
      <c r="K27" s="5">
        <f t="shared" si="2"/>
        <v>11264.557158193082</v>
      </c>
      <c r="L27" s="5">
        <f t="shared" si="3"/>
        <v>662304.9663784499</v>
      </c>
      <c r="M27" s="6">
        <v>11000</v>
      </c>
      <c r="N27" s="5">
        <f>L27/M27</f>
        <v>60.2095423980409</v>
      </c>
      <c r="O27" s="6" t="s">
        <v>7</v>
      </c>
    </row>
    <row r="28" spans="2:15" ht="15">
      <c r="B28" s="28" t="s">
        <v>120</v>
      </c>
      <c r="C28" s="23">
        <v>398000</v>
      </c>
      <c r="D28" s="5">
        <f>C28/C62</f>
        <v>0.03502900317851238</v>
      </c>
      <c r="E28" s="5">
        <f t="shared" si="6"/>
        <v>113741.51325804205</v>
      </c>
      <c r="F28" s="5"/>
      <c r="G28" s="5">
        <f t="shared" si="7"/>
        <v>5963.529319931355</v>
      </c>
      <c r="H28" s="5">
        <f t="shared" si="5"/>
        <v>8132.418638517171</v>
      </c>
      <c r="I28" s="5">
        <f t="shared" si="0"/>
        <v>3843.914669594692</v>
      </c>
      <c r="J28" s="5">
        <f t="shared" si="1"/>
        <v>6549.6632548388225</v>
      </c>
      <c r="K28" s="5">
        <f t="shared" si="2"/>
        <v>2391.7277935240577</v>
      </c>
      <c r="L28" s="5">
        <f t="shared" si="3"/>
        <v>140622.76693444815</v>
      </c>
      <c r="M28" s="6">
        <v>1750</v>
      </c>
      <c r="N28" s="5">
        <f>L28/M28</f>
        <v>80.35586681968466</v>
      </c>
      <c r="O28" s="6" t="s">
        <v>3</v>
      </c>
    </row>
    <row r="29" spans="2:15" ht="15">
      <c r="B29" s="4" t="s">
        <v>13</v>
      </c>
      <c r="C29" s="23">
        <v>387245.36</v>
      </c>
      <c r="D29" s="5">
        <f>C29/C62</f>
        <v>0.034082459664080834</v>
      </c>
      <c r="E29" s="5">
        <f t="shared" si="6"/>
        <v>110668.02323757604</v>
      </c>
      <c r="F29" s="5"/>
      <c r="G29" s="5">
        <f t="shared" si="7"/>
        <v>5802.384568762242</v>
      </c>
      <c r="H29" s="5">
        <f t="shared" si="5"/>
        <v>7912.666792319828</v>
      </c>
      <c r="I29" s="5">
        <f t="shared" si="0"/>
        <v>3740.045527729843</v>
      </c>
      <c r="J29" s="5">
        <f t="shared" si="1"/>
        <v>6372.680163313647</v>
      </c>
      <c r="K29" s="5">
        <f t="shared" si="2"/>
        <v>2327.0992221739434</v>
      </c>
      <c r="L29" s="5">
        <f t="shared" si="3"/>
        <v>136822.89951187553</v>
      </c>
      <c r="M29" s="6">
        <v>1370</v>
      </c>
      <c r="N29" s="5">
        <f t="shared" si="4"/>
        <v>99.87072957071206</v>
      </c>
      <c r="O29" s="6" t="s">
        <v>92</v>
      </c>
    </row>
    <row r="30" spans="2:15" ht="15">
      <c r="B30" s="4" t="s">
        <v>14</v>
      </c>
      <c r="C30" s="23">
        <v>1666157.76</v>
      </c>
      <c r="D30" s="5">
        <f>C30/C62</f>
        <v>0.1466428278164399</v>
      </c>
      <c r="E30" s="5">
        <f>D30*0.9*$C$10</f>
        <v>476159.0576608785</v>
      </c>
      <c r="F30" s="5"/>
      <c r="G30" s="5">
        <f t="shared" si="7"/>
        <v>24965.278023595853</v>
      </c>
      <c r="H30" s="5">
        <f t="shared" si="5"/>
        <v>34044.955834507586</v>
      </c>
      <c r="I30" s="5">
        <f t="shared" si="0"/>
        <v>16091.880039002594</v>
      </c>
      <c r="J30" s="5">
        <f t="shared" si="1"/>
        <v>27419.025772453675</v>
      </c>
      <c r="K30" s="5">
        <f t="shared" si="2"/>
        <v>10012.552319064791</v>
      </c>
      <c r="L30" s="5">
        <f t="shared" si="3"/>
        <v>588692.749649503</v>
      </c>
      <c r="M30" s="6">
        <v>7350</v>
      </c>
      <c r="N30" s="5">
        <f t="shared" si="4"/>
        <v>80.0942516529936</v>
      </c>
      <c r="O30" s="6" t="s">
        <v>3</v>
      </c>
    </row>
    <row r="31" spans="2:15" ht="15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</row>
    <row r="32" spans="2:15" ht="15">
      <c r="B32" s="31" t="s">
        <v>15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</row>
    <row r="33" spans="2:15" ht="15">
      <c r="B33" s="4" t="s">
        <v>16</v>
      </c>
      <c r="C33" s="23">
        <v>294900</v>
      </c>
      <c r="D33" s="5">
        <f>C33/C62</f>
        <v>0.025954907129003273</v>
      </c>
      <c r="E33" s="5">
        <f>D33*0.9*$C$10</f>
        <v>84277.31723566983</v>
      </c>
      <c r="F33" s="5"/>
      <c r="G33" s="5">
        <f>$C$12*0.9*D33</f>
        <v>4418.705518712956</v>
      </c>
      <c r="H33" s="5">
        <f>$C$13*0.9*D33</f>
        <v>6025.7544133133515</v>
      </c>
      <c r="I33" s="5">
        <f>$C$14*0.9*D33</f>
        <v>2848.1669247826</v>
      </c>
      <c r="J33" s="5">
        <f>$C$15*0.9*D33</f>
        <v>4853.00425590947</v>
      </c>
      <c r="K33" s="5">
        <f>$C$16*0.9*D33</f>
        <v>1772.16212640765</v>
      </c>
      <c r="L33" s="5">
        <f>E33+F33+G33+H33+I33+J33+K33</f>
        <v>104195.11047479587</v>
      </c>
      <c r="M33" s="6">
        <v>1050</v>
      </c>
      <c r="N33" s="5">
        <f aca="true" t="shared" si="8" ref="N33:N64">L33/M33</f>
        <v>99.23343854742464</v>
      </c>
      <c r="O33" s="6" t="s">
        <v>92</v>
      </c>
    </row>
    <row r="34" spans="2:15" ht="15">
      <c r="B34" s="4" t="s">
        <v>17</v>
      </c>
      <c r="C34" s="23">
        <v>101661</v>
      </c>
      <c r="D34" s="5">
        <f>C34/C62</f>
        <v>0.008947445960127505</v>
      </c>
      <c r="E34" s="5">
        <f>D34*0.9*$C$10</f>
        <v>29052.954721924147</v>
      </c>
      <c r="F34" s="5"/>
      <c r="G34" s="5">
        <f>$C$12*0.9*D34</f>
        <v>1523.2621964661844</v>
      </c>
      <c r="H34" s="5">
        <f>$C$13*0.9*D34</f>
        <v>2077.2608321866683</v>
      </c>
      <c r="I34" s="5">
        <f>$C$14*0.9*D34</f>
        <v>981.8497719237838</v>
      </c>
      <c r="J34" s="5">
        <f>$C$15*0.9*D34</f>
        <v>1672.978181281833</v>
      </c>
      <c r="K34" s="5">
        <f>$C$16*0.9*D34</f>
        <v>610.9181889885658</v>
      </c>
      <c r="L34" s="5">
        <f>E34+F34+G34+H34+I34+J34+K34</f>
        <v>35919.22389277118</v>
      </c>
      <c r="M34" s="6">
        <v>600</v>
      </c>
      <c r="N34" s="5">
        <f t="shared" si="8"/>
        <v>59.86537315461863</v>
      </c>
      <c r="O34" s="6" t="s">
        <v>7</v>
      </c>
    </row>
    <row r="35" spans="2:15" ht="15">
      <c r="B35" s="4" t="s">
        <v>18</v>
      </c>
      <c r="C35" s="23">
        <v>109438.56</v>
      </c>
      <c r="D35" s="5">
        <f>C35/C62</f>
        <v>0.00963196901028095</v>
      </c>
      <c r="E35" s="5">
        <f>D35*0.9*$C$10</f>
        <v>31275.64679191213</v>
      </c>
      <c r="F35" s="5"/>
      <c r="G35" s="5">
        <f>$C$12*0.9*D35</f>
        <v>1639.7991489725296</v>
      </c>
      <c r="H35" s="5">
        <f>$C$13*0.9*D35</f>
        <v>2236.181369639396</v>
      </c>
      <c r="I35" s="5">
        <f>$C$14*0.9*D35</f>
        <v>1056.966045736982</v>
      </c>
      <c r="J35" s="5">
        <f>$C$15*0.9*D35</f>
        <v>1800.9691334032004</v>
      </c>
      <c r="K35" s="5">
        <f>$C$16*0.9*D35</f>
        <v>657.6563960684679</v>
      </c>
      <c r="L35" s="5">
        <f>E35+F35+G35+H35+I35+J35+K35</f>
        <v>38667.218885732706</v>
      </c>
      <c r="M35" s="6">
        <v>650</v>
      </c>
      <c r="N35" s="5">
        <f t="shared" si="8"/>
        <v>59.488029054973396</v>
      </c>
      <c r="O35" s="6" t="s">
        <v>7</v>
      </c>
    </row>
    <row r="36" spans="2:15" ht="15">
      <c r="B36" s="4" t="s">
        <v>19</v>
      </c>
      <c r="C36" s="23">
        <v>97500</v>
      </c>
      <c r="D36" s="5">
        <f>C36/C62</f>
        <v>0.008581225653027531</v>
      </c>
      <c r="E36" s="5">
        <f>D36*0.9*$C$10</f>
        <v>27863.812921254015</v>
      </c>
      <c r="F36" s="5"/>
      <c r="G36" s="5">
        <f>$C$12*0.9*D36</f>
        <v>1460.914845963083</v>
      </c>
      <c r="H36" s="5">
        <f>$C$13*0.9*D36</f>
        <v>1992.2382343101108</v>
      </c>
      <c r="I36" s="5">
        <f>$C$14*0.9*D36</f>
        <v>941.6625132801067</v>
      </c>
      <c r="J36" s="5">
        <f>$C$15*0.9*D36</f>
        <v>1604.5029330321236</v>
      </c>
      <c r="K36" s="5">
        <f>$C$16*0.9*D36</f>
        <v>585.9132157502403</v>
      </c>
      <c r="L36" s="5">
        <f>E36+F36+G36+H36+I36+J36+K36</f>
        <v>34449.04466358968</v>
      </c>
      <c r="M36" s="6">
        <v>570</v>
      </c>
      <c r="N36" s="5">
        <f t="shared" si="8"/>
        <v>60.43692046243804</v>
      </c>
      <c r="O36" s="6" t="s">
        <v>7</v>
      </c>
    </row>
    <row r="37" spans="2:15" ht="15">
      <c r="B37" s="31" t="s">
        <v>20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</row>
    <row r="38" spans="2:15" ht="15">
      <c r="B38" s="4" t="s">
        <v>22</v>
      </c>
      <c r="C38" s="24">
        <v>135837</v>
      </c>
      <c r="D38" s="5">
        <f>C38/C62</f>
        <v>0.011955363579797956</v>
      </c>
      <c r="E38" s="5">
        <f>D38*$C$10*0.9</f>
        <v>38819.86416189109</v>
      </c>
      <c r="F38" s="5"/>
      <c r="G38" s="5">
        <f>$C$12*D38*0.9</f>
        <v>2035.3465633957671</v>
      </c>
      <c r="H38" s="5">
        <f>$C$13*0.9*D38</f>
        <v>2775.5863080408467</v>
      </c>
      <c r="I38" s="5">
        <f>$C$14*0.9*D38</f>
        <v>1311.9242135018446</v>
      </c>
      <c r="J38" s="5">
        <f>$C$15*0.9*D38</f>
        <v>2235.3934863003547</v>
      </c>
      <c r="K38" s="5">
        <f>$C$16*0.9*D38</f>
        <v>816.2942921832348</v>
      </c>
      <c r="L38" s="5">
        <f>K38+E38+F38+G38+H38+I38+J38</f>
        <v>47994.409025313136</v>
      </c>
      <c r="M38" s="6">
        <v>4500</v>
      </c>
      <c r="N38" s="5">
        <f t="shared" si="8"/>
        <v>10.665424227847364</v>
      </c>
      <c r="O38" s="6" t="s">
        <v>23</v>
      </c>
    </row>
    <row r="39" spans="2:15" ht="15">
      <c r="B39" s="4" t="s">
        <v>24</v>
      </c>
      <c r="C39" s="24">
        <v>84636.9</v>
      </c>
      <c r="D39" s="5">
        <f>C39/C62</f>
        <v>0.007449111153566419</v>
      </c>
      <c r="E39" s="5">
        <f>D39*$C$10*0.9</f>
        <v>24187.76151625522</v>
      </c>
      <c r="F39" s="5"/>
      <c r="G39" s="5">
        <f aca="true" t="shared" si="9" ref="G39:G46">$C$12*D39*0.9</f>
        <v>1268.177474115824</v>
      </c>
      <c r="H39" s="5">
        <f aca="true" t="shared" si="10" ref="H39:H46">$C$13*0.9*D39</f>
        <v>1729.4037765485275</v>
      </c>
      <c r="I39" s="5">
        <f aca="true" t="shared" si="11" ref="I39:I46">$C$14*0.9*D39</f>
        <v>817.4297022588416</v>
      </c>
      <c r="J39" s="5">
        <f aca="true" t="shared" si="12" ref="J39:J46">$C$15*0.9*D39</f>
        <v>1392.822095310221</v>
      </c>
      <c r="K39" s="5">
        <f aca="true" t="shared" si="13" ref="K39:K46">$C$16*0.9*D39</f>
        <v>508.6141358987847</v>
      </c>
      <c r="L39" s="5">
        <f aca="true" t="shared" si="14" ref="L39:L46">K39+E39+F39+G39+H39+I39+J39</f>
        <v>29904.20870038742</v>
      </c>
      <c r="M39" s="6">
        <v>2900</v>
      </c>
      <c r="N39" s="5">
        <f t="shared" si="8"/>
        <v>10.311796103581868</v>
      </c>
      <c r="O39" s="6" t="s">
        <v>23</v>
      </c>
    </row>
    <row r="40" spans="2:15" ht="15">
      <c r="B40" s="4" t="s">
        <v>25</v>
      </c>
      <c r="C40" s="24">
        <v>132702.3</v>
      </c>
      <c r="D40" s="5">
        <f>C40/C62</f>
        <v>0.01167947057411031</v>
      </c>
      <c r="E40" s="5">
        <f aca="true" t="shared" si="15" ref="E40:E46">D40*$C$10*0.9</f>
        <v>37924.02114277053</v>
      </c>
      <c r="F40" s="5"/>
      <c r="G40" s="5">
        <f t="shared" si="9"/>
        <v>1988.3770273174032</v>
      </c>
      <c r="H40" s="5">
        <f t="shared" si="10"/>
        <v>2711.534316316827</v>
      </c>
      <c r="I40" s="5">
        <f t="shared" si="11"/>
        <v>1281.6490393441097</v>
      </c>
      <c r="J40" s="5">
        <f t="shared" si="12"/>
        <v>2183.8074827703463</v>
      </c>
      <c r="K40" s="5">
        <f t="shared" si="13"/>
        <v>797.4567315943908</v>
      </c>
      <c r="L40" s="5">
        <f t="shared" si="14"/>
        <v>46886.84574011361</v>
      </c>
      <c r="M40" s="6">
        <v>4700</v>
      </c>
      <c r="N40" s="5">
        <f t="shared" si="8"/>
        <v>9.975924625556088</v>
      </c>
      <c r="O40" s="6" t="s">
        <v>23</v>
      </c>
    </row>
    <row r="41" spans="2:15" ht="15">
      <c r="B41" s="4" t="s">
        <v>26</v>
      </c>
      <c r="C41" s="24">
        <v>49386.36</v>
      </c>
      <c r="D41" s="5">
        <f>C41/C62</f>
        <v>0.004346620506068233</v>
      </c>
      <c r="E41" s="5">
        <f t="shared" si="15"/>
        <v>14113.767137453358</v>
      </c>
      <c r="F41" s="5"/>
      <c r="G41" s="5">
        <f t="shared" si="9"/>
        <v>739.9924770469473</v>
      </c>
      <c r="H41" s="5">
        <f t="shared" si="10"/>
        <v>1009.1219963631127</v>
      </c>
      <c r="I41" s="5">
        <f t="shared" si="11"/>
        <v>476.97727055749874</v>
      </c>
      <c r="J41" s="5">
        <f t="shared" si="12"/>
        <v>812.7236868900549</v>
      </c>
      <c r="K41" s="5">
        <f t="shared" si="13"/>
        <v>296.78072822357984</v>
      </c>
      <c r="L41" s="5">
        <f t="shared" si="14"/>
        <v>17449.36329653455</v>
      </c>
      <c r="M41" s="6">
        <v>1800</v>
      </c>
      <c r="N41" s="5">
        <f t="shared" si="8"/>
        <v>9.694090720296971</v>
      </c>
      <c r="O41" s="6" t="s">
        <v>23</v>
      </c>
    </row>
    <row r="42" spans="2:15" ht="15">
      <c r="B42" s="28" t="s">
        <v>110</v>
      </c>
      <c r="C42" s="24">
        <v>98000</v>
      </c>
      <c r="D42" s="5">
        <f>C42/C62</f>
        <v>0.008625231938427673</v>
      </c>
      <c r="E42" s="5">
        <f t="shared" si="15"/>
        <v>28006.70426956814</v>
      </c>
      <c r="F42" s="5"/>
      <c r="G42" s="5">
        <f t="shared" si="9"/>
        <v>1468.406716968022</v>
      </c>
      <c r="H42" s="5">
        <f t="shared" si="10"/>
        <v>2002.4548406399065</v>
      </c>
      <c r="I42" s="5">
        <f t="shared" si="11"/>
        <v>946.4915518097483</v>
      </c>
      <c r="J42" s="5">
        <f t="shared" si="12"/>
        <v>1612.7311532015192</v>
      </c>
      <c r="K42" s="5">
        <f t="shared" si="13"/>
        <v>588.9178989079338</v>
      </c>
      <c r="L42" s="5">
        <f t="shared" si="14"/>
        <v>34625.70643109527</v>
      </c>
      <c r="M42" s="6">
        <v>870</v>
      </c>
      <c r="N42" s="5">
        <f>L42/M42</f>
        <v>39.79966256447732</v>
      </c>
      <c r="O42" s="6" t="s">
        <v>10</v>
      </c>
    </row>
    <row r="43" spans="2:15" ht="15">
      <c r="B43" s="29" t="s">
        <v>27</v>
      </c>
      <c r="C43" s="24">
        <v>109000</v>
      </c>
      <c r="D43" s="5">
        <f>C43/C62</f>
        <v>0.009593370217230779</v>
      </c>
      <c r="E43" s="5">
        <f t="shared" si="15"/>
        <v>31150.313932478854</v>
      </c>
      <c r="F43" s="5"/>
      <c r="G43" s="5">
        <f t="shared" si="9"/>
        <v>1633.2278790766775</v>
      </c>
      <c r="H43" s="5">
        <f t="shared" si="10"/>
        <v>2227.220179895406</v>
      </c>
      <c r="I43" s="5">
        <f t="shared" si="11"/>
        <v>1052.730399461863</v>
      </c>
      <c r="J43" s="5">
        <f t="shared" si="12"/>
        <v>1793.7519969282205</v>
      </c>
      <c r="K43" s="5">
        <f t="shared" si="13"/>
        <v>655.0209283771917</v>
      </c>
      <c r="L43" s="5">
        <f t="shared" si="14"/>
        <v>38512.26531621821</v>
      </c>
      <c r="M43" s="6">
        <v>650</v>
      </c>
      <c r="N43" s="5">
        <f t="shared" si="8"/>
        <v>59.249638948028014</v>
      </c>
      <c r="O43" s="6" t="s">
        <v>7</v>
      </c>
    </row>
    <row r="44" spans="2:15" ht="15">
      <c r="B44" s="28" t="s">
        <v>111</v>
      </c>
      <c r="C44" s="24">
        <v>82500</v>
      </c>
      <c r="D44" s="5">
        <f>C44/C62</f>
        <v>0.007261037091023295</v>
      </c>
      <c r="E44" s="5">
        <f t="shared" si="15"/>
        <v>23577.07247183032</v>
      </c>
      <c r="F44" s="5"/>
      <c r="G44" s="5">
        <f t="shared" si="9"/>
        <v>1236.1587158149164</v>
      </c>
      <c r="H44" s="5">
        <f t="shared" si="10"/>
        <v>1685.7400444162477</v>
      </c>
      <c r="I44" s="5">
        <f t="shared" si="11"/>
        <v>796.7913573908595</v>
      </c>
      <c r="J44" s="5">
        <f t="shared" si="12"/>
        <v>1357.6563279502584</v>
      </c>
      <c r="K44" s="5">
        <f t="shared" si="13"/>
        <v>495.7727210194341</v>
      </c>
      <c r="L44" s="5">
        <f t="shared" si="14"/>
        <v>29149.19163842204</v>
      </c>
      <c r="M44" s="6">
        <v>720</v>
      </c>
      <c r="N44" s="5">
        <f t="shared" si="8"/>
        <v>40.484988386697275</v>
      </c>
      <c r="O44" s="6" t="s">
        <v>10</v>
      </c>
    </row>
    <row r="45" spans="2:15" ht="15">
      <c r="B45" s="4" t="s">
        <v>29</v>
      </c>
      <c r="C45" s="24">
        <v>271000</v>
      </c>
      <c r="D45" s="5">
        <f>C45/C62</f>
        <v>0.023851406686876523</v>
      </c>
      <c r="E45" s="5">
        <f t="shared" si="15"/>
        <v>77447.11078625475</v>
      </c>
      <c r="F45" s="5"/>
      <c r="G45" s="5">
        <f t="shared" si="9"/>
        <v>4060.594084676877</v>
      </c>
      <c r="H45" s="5">
        <f t="shared" si="10"/>
        <v>5537.400630749129</v>
      </c>
      <c r="I45" s="5">
        <f t="shared" si="11"/>
        <v>2617.3388830657327</v>
      </c>
      <c r="J45" s="5">
        <f t="shared" si="12"/>
        <v>4459.695331812364</v>
      </c>
      <c r="K45" s="5">
        <f t="shared" si="13"/>
        <v>1628.5382714698987</v>
      </c>
      <c r="L45" s="5">
        <f t="shared" si="14"/>
        <v>95750.67798802876</v>
      </c>
      <c r="M45" s="6">
        <v>2400</v>
      </c>
      <c r="N45" s="5">
        <f t="shared" si="8"/>
        <v>39.896115828345316</v>
      </c>
      <c r="O45" s="6" t="s">
        <v>10</v>
      </c>
    </row>
    <row r="46" spans="2:15" ht="15">
      <c r="B46" s="4" t="s">
        <v>31</v>
      </c>
      <c r="C46" s="24">
        <v>120000</v>
      </c>
      <c r="D46" s="5">
        <f>C46/C62</f>
        <v>0.010561508496033885</v>
      </c>
      <c r="E46" s="5">
        <f t="shared" si="15"/>
        <v>34293.923595389555</v>
      </c>
      <c r="F46" s="5"/>
      <c r="G46" s="5">
        <f t="shared" si="9"/>
        <v>1798.049041185333</v>
      </c>
      <c r="H46" s="5">
        <f t="shared" si="10"/>
        <v>2451.985519150906</v>
      </c>
      <c r="I46" s="5">
        <f t="shared" si="11"/>
        <v>1158.9692471139774</v>
      </c>
      <c r="J46" s="5">
        <f t="shared" si="12"/>
        <v>1974.7728406549215</v>
      </c>
      <c r="K46" s="5">
        <f t="shared" si="13"/>
        <v>721.1239578464496</v>
      </c>
      <c r="L46" s="5">
        <f t="shared" si="14"/>
        <v>42398.82420134114</v>
      </c>
      <c r="M46" s="6">
        <v>1430</v>
      </c>
      <c r="N46" s="5">
        <f t="shared" si="8"/>
        <v>29.649527413525274</v>
      </c>
      <c r="O46" s="6" t="s">
        <v>97</v>
      </c>
    </row>
    <row r="47" spans="2:15" ht="15">
      <c r="B47" s="31" t="s">
        <v>32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</row>
    <row r="48" spans="2:15" ht="15">
      <c r="B48" s="4" t="s">
        <v>33</v>
      </c>
      <c r="C48" s="23">
        <f>10384*7</f>
        <v>72688</v>
      </c>
      <c r="D48" s="5">
        <f>C48/C62</f>
        <v>0.006397457746330925</v>
      </c>
      <c r="E48" s="5">
        <f>$C$10*0.9*D48</f>
        <v>20772.97265251397</v>
      </c>
      <c r="F48" s="5"/>
      <c r="G48" s="5">
        <f>$C$12*0.9*D48</f>
        <v>1089.1382392139956</v>
      </c>
      <c r="H48" s="5">
        <f>$C$13*0.9*D48</f>
        <v>1485.2493618003418</v>
      </c>
      <c r="I48" s="5">
        <f>$C$14*0.9*D48</f>
        <v>702.0263052851733</v>
      </c>
      <c r="J48" s="5">
        <f>$C$15*0.9*D48</f>
        <v>1196.185735346041</v>
      </c>
      <c r="K48" s="5">
        <f>$C$16*0.9*D48</f>
        <v>436.808818732856</v>
      </c>
      <c r="L48" s="5">
        <f>E48+F48+G48+H48+I48+J48+K48</f>
        <v>25682.38111289238</v>
      </c>
      <c r="M48" s="6">
        <v>500</v>
      </c>
      <c r="N48" s="5">
        <f t="shared" si="8"/>
        <v>51.36476222578476</v>
      </c>
      <c r="O48" s="6" t="s">
        <v>28</v>
      </c>
    </row>
    <row r="49" spans="2:15" ht="15">
      <c r="B49" s="4" t="s">
        <v>34</v>
      </c>
      <c r="C49" s="23">
        <v>250000</v>
      </c>
      <c r="D49" s="5">
        <f>C49/C62</f>
        <v>0.02200314270007059</v>
      </c>
      <c r="E49" s="5">
        <f aca="true" t="shared" si="16" ref="E49:E58">$C$10*0.9*D49</f>
        <v>71445.67415706158</v>
      </c>
      <c r="F49" s="5"/>
      <c r="G49" s="5">
        <f>$C$12*0.9*D49</f>
        <v>3745.9355024694437</v>
      </c>
      <c r="H49" s="5">
        <f aca="true" t="shared" si="17" ref="H49:H58">$C$13*0.9*D49</f>
        <v>5108.30316489772</v>
      </c>
      <c r="I49" s="5">
        <f aca="true" t="shared" si="18" ref="I49:I58">$C$14*0.9*D49</f>
        <v>2414.5192648207862</v>
      </c>
      <c r="J49" s="5">
        <f aca="true" t="shared" si="19" ref="J49:J58">$C$15*0.9*D49</f>
        <v>4114.110084697752</v>
      </c>
      <c r="K49" s="5">
        <f aca="true" t="shared" si="20" ref="K49:K58">$C$16*0.9*D49</f>
        <v>1502.3415788467698</v>
      </c>
      <c r="L49" s="5">
        <f aca="true" t="shared" si="21" ref="L49:L58">E49+F49+G49+H49+I49+J49+K49</f>
        <v>88330.88375279405</v>
      </c>
      <c r="M49" s="6">
        <v>2200</v>
      </c>
      <c r="N49" s="5">
        <f t="shared" si="8"/>
        <v>40.150401705815476</v>
      </c>
      <c r="O49" s="6" t="s">
        <v>10</v>
      </c>
    </row>
    <row r="50" spans="2:15" ht="15">
      <c r="B50" s="4" t="s">
        <v>35</v>
      </c>
      <c r="C50" s="23">
        <v>53333</v>
      </c>
      <c r="D50" s="5">
        <f>C50/C62</f>
        <v>0.004693974438491459</v>
      </c>
      <c r="E50" s="5">
        <f t="shared" si="16"/>
        <v>15241.648559274261</v>
      </c>
      <c r="F50" s="5"/>
      <c r="G50" s="5">
        <f aca="true" t="shared" si="22" ref="G50:G58">$C$12*0.9*D50</f>
        <v>799.1279126128113</v>
      </c>
      <c r="H50" s="5">
        <f t="shared" si="17"/>
        <v>1089.7645307739604</v>
      </c>
      <c r="I50" s="5">
        <f t="shared" si="18"/>
        <v>515.0942238027479</v>
      </c>
      <c r="J50" s="5">
        <f t="shared" si="19"/>
        <v>877.6713325887409</v>
      </c>
      <c r="K50" s="5">
        <f t="shared" si="20"/>
        <v>320.4975336985391</v>
      </c>
      <c r="L50" s="5">
        <f t="shared" si="21"/>
        <v>18843.804092751063</v>
      </c>
      <c r="M50" s="6">
        <v>600</v>
      </c>
      <c r="N50" s="5">
        <f t="shared" si="8"/>
        <v>31.406340154585106</v>
      </c>
      <c r="O50" s="6" t="s">
        <v>97</v>
      </c>
    </row>
    <row r="51" spans="2:15" ht="15">
      <c r="B51" s="4" t="s">
        <v>36</v>
      </c>
      <c r="C51" s="23">
        <v>53333</v>
      </c>
      <c r="D51" s="5">
        <f>C51/C62</f>
        <v>0.004693974438491459</v>
      </c>
      <c r="E51" s="5">
        <f t="shared" si="16"/>
        <v>15241.648559274261</v>
      </c>
      <c r="F51" s="5"/>
      <c r="G51" s="5">
        <f t="shared" si="22"/>
        <v>799.1279126128113</v>
      </c>
      <c r="H51" s="5">
        <f t="shared" si="17"/>
        <v>1089.7645307739604</v>
      </c>
      <c r="I51" s="5">
        <f t="shared" si="18"/>
        <v>515.0942238027479</v>
      </c>
      <c r="J51" s="5">
        <f t="shared" si="19"/>
        <v>877.6713325887409</v>
      </c>
      <c r="K51" s="5">
        <f t="shared" si="20"/>
        <v>320.4975336985391</v>
      </c>
      <c r="L51" s="5">
        <f t="shared" si="21"/>
        <v>18843.804092751063</v>
      </c>
      <c r="M51" s="6">
        <v>600</v>
      </c>
      <c r="N51" s="5">
        <f t="shared" si="8"/>
        <v>31.406340154585106</v>
      </c>
      <c r="O51" s="6" t="s">
        <v>97</v>
      </c>
    </row>
    <row r="52" spans="2:15" ht="15">
      <c r="B52" s="4" t="s">
        <v>37</v>
      </c>
      <c r="C52" s="23">
        <v>53334</v>
      </c>
      <c r="D52" s="5">
        <f>C52/C62</f>
        <v>0.00469406245106226</v>
      </c>
      <c r="E52" s="5">
        <f t="shared" si="16"/>
        <v>15241.934341970891</v>
      </c>
      <c r="F52" s="5"/>
      <c r="G52" s="5">
        <f t="shared" si="22"/>
        <v>799.1428963548213</v>
      </c>
      <c r="H52" s="5">
        <f t="shared" si="17"/>
        <v>1089.7849639866201</v>
      </c>
      <c r="I52" s="5">
        <f t="shared" si="18"/>
        <v>515.1038818798073</v>
      </c>
      <c r="J52" s="5">
        <f t="shared" si="19"/>
        <v>877.6877890290799</v>
      </c>
      <c r="K52" s="5">
        <f t="shared" si="20"/>
        <v>320.5035430648545</v>
      </c>
      <c r="L52" s="5">
        <f t="shared" si="21"/>
        <v>18844.157416286074</v>
      </c>
      <c r="M52" s="6">
        <v>600</v>
      </c>
      <c r="N52" s="5">
        <f t="shared" si="8"/>
        <v>31.40692902714346</v>
      </c>
      <c r="O52" s="6" t="s">
        <v>97</v>
      </c>
    </row>
    <row r="53" spans="2:15" ht="15">
      <c r="B53" s="4" t="s">
        <v>38</v>
      </c>
      <c r="C53" s="23">
        <v>62000</v>
      </c>
      <c r="D53" s="5">
        <f>C53/C62</f>
        <v>0.005456779389617507</v>
      </c>
      <c r="E53" s="5">
        <f t="shared" si="16"/>
        <v>17718.527190951274</v>
      </c>
      <c r="F53" s="5"/>
      <c r="G53" s="5">
        <f t="shared" si="22"/>
        <v>928.9920046124221</v>
      </c>
      <c r="H53" s="5">
        <f t="shared" si="17"/>
        <v>1266.8591848946346</v>
      </c>
      <c r="I53" s="5">
        <f t="shared" si="18"/>
        <v>598.800777675555</v>
      </c>
      <c r="J53" s="5">
        <f t="shared" si="19"/>
        <v>1020.2993010050427</v>
      </c>
      <c r="K53" s="5">
        <f t="shared" si="20"/>
        <v>372.5807115539989</v>
      </c>
      <c r="L53" s="5">
        <f t="shared" si="21"/>
        <v>21906.059170692923</v>
      </c>
      <c r="M53" s="6">
        <v>700</v>
      </c>
      <c r="N53" s="5">
        <f t="shared" si="8"/>
        <v>31.294370243847034</v>
      </c>
      <c r="O53" s="6" t="s">
        <v>97</v>
      </c>
    </row>
    <row r="54" spans="2:15" ht="15">
      <c r="B54" s="4" t="s">
        <v>39</v>
      </c>
      <c r="C54" s="23">
        <v>69453.72</v>
      </c>
      <c r="D54" s="5">
        <f>C54/C62</f>
        <v>0.006112800448842988</v>
      </c>
      <c r="E54" s="5">
        <f t="shared" si="16"/>
        <v>19848.671392463166</v>
      </c>
      <c r="F54" s="5"/>
      <c r="G54" s="5">
        <f t="shared" si="22"/>
        <v>1040.6766221062883</v>
      </c>
      <c r="H54" s="5">
        <f t="shared" si="17"/>
        <v>1419.1626307596805</v>
      </c>
      <c r="I54" s="5">
        <f t="shared" si="18"/>
        <v>670.789379813875</v>
      </c>
      <c r="J54" s="5">
        <f t="shared" si="19"/>
        <v>1142.9609994870962</v>
      </c>
      <c r="K54" s="5">
        <f t="shared" si="20"/>
        <v>417.3728454463259</v>
      </c>
      <c r="L54" s="5">
        <f t="shared" si="21"/>
        <v>24539.633870076435</v>
      </c>
      <c r="M54" s="6">
        <v>800</v>
      </c>
      <c r="N54" s="5">
        <f t="shared" si="8"/>
        <v>30.674542337595543</v>
      </c>
      <c r="O54" s="6" t="s">
        <v>97</v>
      </c>
    </row>
    <row r="55" spans="2:15" ht="15">
      <c r="B55" s="4" t="s">
        <v>40</v>
      </c>
      <c r="C55" s="23">
        <v>69453.72</v>
      </c>
      <c r="D55" s="5">
        <f>C55/C62</f>
        <v>0.006112800448842988</v>
      </c>
      <c r="E55" s="5">
        <f t="shared" si="16"/>
        <v>19848.671392463166</v>
      </c>
      <c r="F55" s="5"/>
      <c r="G55" s="5">
        <f t="shared" si="22"/>
        <v>1040.6766221062883</v>
      </c>
      <c r="H55" s="5">
        <f t="shared" si="17"/>
        <v>1419.1626307596805</v>
      </c>
      <c r="I55" s="5">
        <f t="shared" si="18"/>
        <v>670.789379813875</v>
      </c>
      <c r="J55" s="5">
        <f t="shared" si="19"/>
        <v>1142.9609994870962</v>
      </c>
      <c r="K55" s="5">
        <f t="shared" si="20"/>
        <v>417.3728454463259</v>
      </c>
      <c r="L55" s="5">
        <f t="shared" si="21"/>
        <v>24539.633870076435</v>
      </c>
      <c r="M55" s="6">
        <v>800</v>
      </c>
      <c r="N55" s="5">
        <f t="shared" si="8"/>
        <v>30.674542337595543</v>
      </c>
      <c r="O55" s="6" t="s">
        <v>97</v>
      </c>
    </row>
    <row r="56" spans="2:15" ht="15">
      <c r="B56" s="4" t="s">
        <v>41</v>
      </c>
      <c r="C56" s="23">
        <v>80147</v>
      </c>
      <c r="D56" s="5">
        <f>C56/C62</f>
        <v>0.007053943511930231</v>
      </c>
      <c r="E56" s="5">
        <f t="shared" si="16"/>
        <v>22904.62578666406</v>
      </c>
      <c r="F56" s="5"/>
      <c r="G56" s="5">
        <f t="shared" si="22"/>
        <v>1200.901970865674</v>
      </c>
      <c r="H56" s="5">
        <f t="shared" si="17"/>
        <v>1637.6606950282303</v>
      </c>
      <c r="I56" s="5">
        <f t="shared" si="18"/>
        <v>774.0659020703663</v>
      </c>
      <c r="J56" s="5">
        <f t="shared" si="19"/>
        <v>1318.9343238330832</v>
      </c>
      <c r="K56" s="5">
        <f t="shared" si="20"/>
        <v>481.6326820793283</v>
      </c>
      <c r="L56" s="5">
        <f t="shared" si="21"/>
        <v>28317.821360540744</v>
      </c>
      <c r="M56" s="6">
        <v>950</v>
      </c>
      <c r="N56" s="5">
        <f t="shared" si="8"/>
        <v>29.80823301109552</v>
      </c>
      <c r="O56" s="6" t="s">
        <v>97</v>
      </c>
    </row>
    <row r="57" spans="2:15" ht="15">
      <c r="B57" s="4" t="s">
        <v>42</v>
      </c>
      <c r="C57" s="23">
        <v>80147</v>
      </c>
      <c r="D57" s="5">
        <f>C57/C62</f>
        <v>0.007053943511930231</v>
      </c>
      <c r="E57" s="5">
        <f t="shared" si="16"/>
        <v>22904.62578666406</v>
      </c>
      <c r="F57" s="5"/>
      <c r="G57" s="5">
        <f t="shared" si="22"/>
        <v>1200.901970865674</v>
      </c>
      <c r="H57" s="5">
        <f t="shared" si="17"/>
        <v>1637.6606950282303</v>
      </c>
      <c r="I57" s="5">
        <f t="shared" si="18"/>
        <v>774.0659020703663</v>
      </c>
      <c r="J57" s="5">
        <f t="shared" si="19"/>
        <v>1318.9343238330832</v>
      </c>
      <c r="K57" s="5">
        <f t="shared" si="20"/>
        <v>481.6326820793283</v>
      </c>
      <c r="L57" s="5">
        <f t="shared" si="21"/>
        <v>28317.821360540744</v>
      </c>
      <c r="M57" s="6">
        <v>950</v>
      </c>
      <c r="N57" s="5">
        <f t="shared" si="8"/>
        <v>29.80823301109552</v>
      </c>
      <c r="O57" s="6" t="s">
        <v>97</v>
      </c>
    </row>
    <row r="58" spans="2:15" ht="15">
      <c r="B58" s="4" t="s">
        <v>43</v>
      </c>
      <c r="C58" s="23">
        <v>80147</v>
      </c>
      <c r="D58" s="5">
        <f>C58/C62</f>
        <v>0.007053943511930231</v>
      </c>
      <c r="E58" s="5">
        <f t="shared" si="16"/>
        <v>22904.62578666406</v>
      </c>
      <c r="F58" s="5"/>
      <c r="G58" s="5">
        <f t="shared" si="22"/>
        <v>1200.901970865674</v>
      </c>
      <c r="H58" s="5">
        <f t="shared" si="17"/>
        <v>1637.6606950282303</v>
      </c>
      <c r="I58" s="5">
        <f t="shared" si="18"/>
        <v>774.0659020703663</v>
      </c>
      <c r="J58" s="5">
        <f t="shared" si="19"/>
        <v>1318.9343238330832</v>
      </c>
      <c r="K58" s="5">
        <f t="shared" si="20"/>
        <v>481.6326820793283</v>
      </c>
      <c r="L58" s="5">
        <f t="shared" si="21"/>
        <v>28317.821360540744</v>
      </c>
      <c r="M58" s="6">
        <v>950</v>
      </c>
      <c r="N58" s="5">
        <f t="shared" si="8"/>
        <v>29.80823301109552</v>
      </c>
      <c r="O58" s="6" t="s">
        <v>97</v>
      </c>
    </row>
    <row r="59" spans="2:15" ht="15">
      <c r="B59" s="31" t="s">
        <v>44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/>
    </row>
    <row r="60" spans="2:15" ht="15">
      <c r="B60" s="4" t="s">
        <v>45</v>
      </c>
      <c r="C60" s="23">
        <v>436967.66</v>
      </c>
      <c r="D60" s="5">
        <f>C60/C62</f>
        <v>0.03845864711318371</v>
      </c>
      <c r="E60" s="5">
        <f>C10*0.9*D60</f>
        <v>124877.79621413468</v>
      </c>
      <c r="F60" s="5"/>
      <c r="G60" s="5">
        <f>C12*0.9*D60</f>
        <v>6547.4106840999875</v>
      </c>
      <c r="H60" s="5">
        <f>C13*0.9*D60</f>
        <v>8928.653122143804</v>
      </c>
      <c r="I60" s="5">
        <f>C14*0.9*D60</f>
        <v>4220.267332694637</v>
      </c>
      <c r="J60" s="5">
        <f>C15*0.9*D60</f>
        <v>7190.932226771115</v>
      </c>
      <c r="K60" s="5">
        <f>C16*0.9*D60</f>
        <v>2625.898736917514</v>
      </c>
      <c r="L60" s="5">
        <f>E60+F60+G60+H60+I60+J60+K60</f>
        <v>154390.9583167617</v>
      </c>
      <c r="M60" s="6">
        <v>2550</v>
      </c>
      <c r="N60" s="5">
        <f t="shared" si="8"/>
        <v>60.545473849710476</v>
      </c>
      <c r="O60" s="6" t="s">
        <v>7</v>
      </c>
    </row>
    <row r="61" spans="2:15" ht="15">
      <c r="B61" s="4"/>
      <c r="C61" s="4"/>
      <c r="D61" s="4"/>
      <c r="E61" s="5"/>
      <c r="F61" s="5"/>
      <c r="G61" s="4"/>
      <c r="H61" s="4"/>
      <c r="I61" s="4"/>
      <c r="J61" s="4"/>
      <c r="K61" s="4"/>
      <c r="L61" s="5"/>
      <c r="M61" s="4"/>
      <c r="N61" s="5"/>
      <c r="O61" s="6"/>
    </row>
    <row r="62" spans="2:15" ht="15">
      <c r="B62" s="7" t="s">
        <v>52</v>
      </c>
      <c r="C62" s="25">
        <f>SUM(C21:C60)</f>
        <v>11362013.3</v>
      </c>
      <c r="D62" s="8">
        <f>SUM(D21:D60)</f>
        <v>1.0000000000000004</v>
      </c>
      <c r="E62" s="9">
        <f>SUM(E21:E60)</f>
        <v>3247066.7999999993</v>
      </c>
      <c r="F62" s="9"/>
      <c r="G62" s="8">
        <f>SUM(G21:G60)</f>
        <v>170245.47599999997</v>
      </c>
      <c r="H62" s="8">
        <f>SUM(H21:H30,H33:H36,H38:H46,H48:H58,H60)</f>
        <v>232162.434</v>
      </c>
      <c r="I62" s="8">
        <f>SUM(I21:I30,I33:I36,I38:I46,I48:I58,I60)</f>
        <v>109735.19999999998</v>
      </c>
      <c r="J62" s="8">
        <f>SUM(J21:J30,J33:J36,J38:J46,J48:J58,J60)</f>
        <v>186978.29400000002</v>
      </c>
      <c r="K62" s="8">
        <f>SUM(K21:K60)</f>
        <v>68278.50000000001</v>
      </c>
      <c r="L62" s="9">
        <f>SUM(L21:L61)</f>
        <v>4014466.703999999</v>
      </c>
      <c r="M62" s="5"/>
      <c r="N62" s="5"/>
      <c r="O62" s="6"/>
    </row>
    <row r="63" spans="2:15" ht="15">
      <c r="B63" s="7"/>
      <c r="C63" s="7"/>
      <c r="D63" s="8"/>
      <c r="E63" s="9"/>
      <c r="F63" s="9"/>
      <c r="G63" s="8"/>
      <c r="H63" s="8"/>
      <c r="I63" s="8"/>
      <c r="J63" s="8"/>
      <c r="K63" s="8"/>
      <c r="L63" s="9"/>
      <c r="M63" s="5"/>
      <c r="N63" s="5"/>
      <c r="O63" s="6"/>
    </row>
    <row r="64" spans="2:15" ht="15">
      <c r="B64" s="10" t="s">
        <v>64</v>
      </c>
      <c r="C64" s="6" t="s">
        <v>62</v>
      </c>
      <c r="D64" s="6" t="s">
        <v>63</v>
      </c>
      <c r="E64" s="6">
        <f>C10*0.09</f>
        <v>324706.68</v>
      </c>
      <c r="F64" s="6"/>
      <c r="G64" s="6">
        <f>C12*0.09</f>
        <v>17024.5476</v>
      </c>
      <c r="H64" s="6">
        <f>C13*0.09</f>
        <v>23216.243399999996</v>
      </c>
      <c r="I64" s="6">
        <f>C14*0.09</f>
        <v>10973.52</v>
      </c>
      <c r="J64" s="6">
        <f>C15*0.09</f>
        <v>18697.8294</v>
      </c>
      <c r="K64" s="6">
        <f>C16*0.09</f>
        <v>6827.849999999999</v>
      </c>
      <c r="L64" s="6">
        <f>E64+G64+H64+I64+J64+F64+K64</f>
        <v>401446.67039999994</v>
      </c>
      <c r="M64" s="6">
        <v>2000</v>
      </c>
      <c r="N64" s="5">
        <f t="shared" si="8"/>
        <v>200.72333519999998</v>
      </c>
      <c r="O64" s="6" t="s">
        <v>91</v>
      </c>
    </row>
    <row r="65" spans="2:15" ht="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ht="15">
      <c r="B66" s="12" t="s">
        <v>73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ht="15">
      <c r="B67" s="10" t="s">
        <v>67</v>
      </c>
      <c r="C67" s="23">
        <v>4215.35</v>
      </c>
      <c r="D67" s="5">
        <f>C67/$C$98</f>
        <v>0.07348452281212987</v>
      </c>
      <c r="E67" s="5">
        <f>$C$10*0.01*D67</f>
        <v>2651.2128259678843</v>
      </c>
      <c r="F67" s="5"/>
      <c r="G67" s="5">
        <f>$C$12*0.01*D67</f>
        <v>139.00452849759898</v>
      </c>
      <c r="H67" s="5">
        <f>$C$13*0.01*D67</f>
        <v>189.55939641547326</v>
      </c>
      <c r="I67" s="5">
        <f>$C$14*0.01*D67</f>
        <v>89.5982089743737</v>
      </c>
      <c r="J67" s="5">
        <f>$C$15*0.01*D67</f>
        <v>152.66678567573473</v>
      </c>
      <c r="K67" s="5">
        <f>$C$16*0.01*D67</f>
        <v>55.749033231422324</v>
      </c>
      <c r="L67" s="5">
        <f>SUM(E67:K67)</f>
        <v>3277.7907787624877</v>
      </c>
      <c r="M67" s="18">
        <v>22</v>
      </c>
      <c r="N67" s="5">
        <f>L67/M67</f>
        <v>148.99048994374945</v>
      </c>
      <c r="O67" s="6" t="s">
        <v>65</v>
      </c>
    </row>
    <row r="68" spans="2:15" ht="15">
      <c r="B68" s="10" t="s">
        <v>66</v>
      </c>
      <c r="C68" s="23">
        <v>6800</v>
      </c>
      <c r="D68" s="5">
        <f>C68/$C$98</f>
        <v>0.11854170000651977</v>
      </c>
      <c r="E68" s="5">
        <f aca="true" t="shared" si="23" ref="E68:E96">$C$10*0.01*D68</f>
        <v>4276.809094519224</v>
      </c>
      <c r="F68" s="5"/>
      <c r="G68" s="5">
        <f>$C$12*0.01*D68</f>
        <v>224.23542381621291</v>
      </c>
      <c r="H68" s="5">
        <f aca="true" t="shared" si="24" ref="H68:H96">$C$13*0.01*D68</f>
        <v>305.78810671123824</v>
      </c>
      <c r="I68" s="5">
        <f aca="true" t="shared" si="25" ref="I68:I96">$C$14*0.01*D68</f>
        <v>144.53552398394942</v>
      </c>
      <c r="J68" s="5">
        <f aca="true" t="shared" si="26" ref="J68:J96">$C$15*0.01*D68</f>
        <v>246.27472038976506</v>
      </c>
      <c r="K68" s="5">
        <f aca="true" t="shared" si="27" ref="K68:K96">$C$16*0.01*D68</f>
        <v>89.93166070994621</v>
      </c>
      <c r="L68" s="5">
        <f aca="true" t="shared" si="28" ref="L68:L96">SUM(E68:K68)</f>
        <v>5287.574530130336</v>
      </c>
      <c r="M68" s="18">
        <v>25</v>
      </c>
      <c r="N68" s="5">
        <f aca="true" t="shared" si="29" ref="N68:N92">L68/M68</f>
        <v>211.50298120521344</v>
      </c>
      <c r="O68" s="6" t="s">
        <v>91</v>
      </c>
    </row>
    <row r="69" spans="2:15" ht="15">
      <c r="B69" s="10" t="s">
        <v>68</v>
      </c>
      <c r="C69" s="23">
        <v>492.69</v>
      </c>
      <c r="D69" s="5">
        <f aca="true" t="shared" si="30" ref="D69:D96">C69/$C$98</f>
        <v>0.00858886914356062</v>
      </c>
      <c r="E69" s="5">
        <f t="shared" si="23"/>
        <v>309.87368717333476</v>
      </c>
      <c r="F69" s="5"/>
      <c r="G69" s="5">
        <f aca="true" t="shared" si="31" ref="G69:G96">$C$12*0.01*D69</f>
        <v>16.246845729413227</v>
      </c>
      <c r="H69" s="5">
        <f t="shared" si="24"/>
        <v>22.155697396405877</v>
      </c>
      <c r="I69" s="5">
        <f t="shared" si="25"/>
        <v>10.472236369360594</v>
      </c>
      <c r="J69" s="5">
        <f t="shared" si="26"/>
        <v>17.843689998357842</v>
      </c>
      <c r="K69" s="5">
        <f t="shared" si="27"/>
        <v>6.515945575762265</v>
      </c>
      <c r="L69" s="5">
        <f t="shared" si="28"/>
        <v>383.1081022426345</v>
      </c>
      <c r="M69" s="18">
        <v>7</v>
      </c>
      <c r="N69" s="5">
        <f t="shared" si="29"/>
        <v>54.72972889180493</v>
      </c>
      <c r="O69" s="6" t="s">
        <v>28</v>
      </c>
    </row>
    <row r="70" spans="2:15" ht="15">
      <c r="B70" s="10" t="s">
        <v>69</v>
      </c>
      <c r="C70" s="23">
        <v>1032.12</v>
      </c>
      <c r="D70" s="5">
        <f t="shared" si="30"/>
        <v>0.017992538148636644</v>
      </c>
      <c r="E70" s="5">
        <f t="shared" si="23"/>
        <v>649.1441474463502</v>
      </c>
      <c r="F70" s="5"/>
      <c r="G70" s="5">
        <f t="shared" si="31"/>
        <v>34.034980239586716</v>
      </c>
      <c r="H70" s="5">
        <f t="shared" si="24"/>
        <v>46.413238338059294</v>
      </c>
      <c r="I70" s="5">
        <f t="shared" si="25"/>
        <v>21.937941913869686</v>
      </c>
      <c r="J70" s="5">
        <f t="shared" si="26"/>
        <v>37.380156530688865</v>
      </c>
      <c r="K70" s="5">
        <f t="shared" si="27"/>
        <v>13.65003906646319</v>
      </c>
      <c r="L70" s="5">
        <f t="shared" si="28"/>
        <v>802.5605035350179</v>
      </c>
      <c r="M70" s="18">
        <v>10</v>
      </c>
      <c r="N70" s="5">
        <f t="shared" si="29"/>
        <v>80.25605035350179</v>
      </c>
      <c r="O70" s="6" t="s">
        <v>3</v>
      </c>
    </row>
    <row r="71" spans="2:15" ht="15">
      <c r="B71" s="10" t="s">
        <v>70</v>
      </c>
      <c r="C71" s="23">
        <v>3960</v>
      </c>
      <c r="D71" s="5">
        <f t="shared" si="30"/>
        <v>0.06903310765085563</v>
      </c>
      <c r="E71" s="5">
        <f t="shared" si="23"/>
        <v>2490.612355043548</v>
      </c>
      <c r="F71" s="5"/>
      <c r="G71" s="5">
        <f t="shared" si="31"/>
        <v>130.58415857532398</v>
      </c>
      <c r="H71" s="5">
        <f t="shared" si="24"/>
        <v>178.07660332007404</v>
      </c>
      <c r="I71" s="5">
        <f t="shared" si="25"/>
        <v>84.17068749653525</v>
      </c>
      <c r="J71" s="5">
        <f t="shared" si="26"/>
        <v>143.4188077563926</v>
      </c>
      <c r="K71" s="5">
        <f t="shared" si="27"/>
        <v>52.371967119321624</v>
      </c>
      <c r="L71" s="5">
        <f t="shared" si="28"/>
        <v>3079.234579311196</v>
      </c>
      <c r="M71" s="18">
        <v>30</v>
      </c>
      <c r="N71" s="5">
        <f t="shared" si="29"/>
        <v>102.64115264370653</v>
      </c>
      <c r="O71" s="6" t="s">
        <v>92</v>
      </c>
    </row>
    <row r="72" spans="2:15" ht="15">
      <c r="B72" s="10" t="s">
        <v>71</v>
      </c>
      <c r="C72" s="23">
        <v>6968.49</v>
      </c>
      <c r="D72" s="5">
        <f t="shared" si="30"/>
        <v>0.12147891927624013</v>
      </c>
      <c r="E72" s="5">
        <f t="shared" si="23"/>
        <v>4382.779618686216</v>
      </c>
      <c r="F72" s="5"/>
      <c r="G72" s="5">
        <f t="shared" si="31"/>
        <v>229.79151595721197</v>
      </c>
      <c r="H72" s="5">
        <f t="shared" si="24"/>
        <v>313.3649064317936</v>
      </c>
      <c r="I72" s="5">
        <f t="shared" si="25"/>
        <v>148.11681669513408</v>
      </c>
      <c r="J72" s="5">
        <f t="shared" si="26"/>
        <v>252.3769009248344</v>
      </c>
      <c r="K72" s="5">
        <f t="shared" si="27"/>
        <v>92.15998210891958</v>
      </c>
      <c r="L72" s="5">
        <f t="shared" si="28"/>
        <v>5418.589740804109</v>
      </c>
      <c r="M72" s="18">
        <v>45</v>
      </c>
      <c r="N72" s="5">
        <f t="shared" si="29"/>
        <v>120.41310535120243</v>
      </c>
      <c r="O72" s="6" t="s">
        <v>93</v>
      </c>
    </row>
    <row r="73" spans="2:15" ht="15">
      <c r="B73" s="10" t="s">
        <v>72</v>
      </c>
      <c r="C73" s="23">
        <v>10485.94</v>
      </c>
      <c r="D73" s="5">
        <f t="shared" si="30"/>
        <v>0.1827972284950538</v>
      </c>
      <c r="E73" s="5">
        <f t="shared" si="23"/>
        <v>6595.05346420337</v>
      </c>
      <c r="F73" s="5"/>
      <c r="G73" s="5">
        <f t="shared" si="31"/>
        <v>345.7822352957911</v>
      </c>
      <c r="H73" s="5">
        <f t="shared" si="24"/>
        <v>471.54054995406494</v>
      </c>
      <c r="I73" s="5">
        <f t="shared" si="25"/>
        <v>222.8810047594492</v>
      </c>
      <c r="J73" s="5">
        <f t="shared" si="26"/>
        <v>379.7679325770372</v>
      </c>
      <c r="K73" s="5">
        <f t="shared" si="27"/>
        <v>138.67911739777256</v>
      </c>
      <c r="L73" s="5">
        <f t="shared" si="28"/>
        <v>8153.704304187484</v>
      </c>
      <c r="M73" s="18">
        <v>62</v>
      </c>
      <c r="N73" s="5">
        <f t="shared" si="29"/>
        <v>131.5113597449594</v>
      </c>
      <c r="O73" s="6" t="s">
        <v>94</v>
      </c>
    </row>
    <row r="74" spans="2:15" ht="15">
      <c r="B74" s="4" t="s">
        <v>112</v>
      </c>
      <c r="C74" s="23">
        <v>610.46</v>
      </c>
      <c r="D74" s="5">
        <f t="shared" si="30"/>
        <v>0.010641906792055891</v>
      </c>
      <c r="E74" s="5">
        <f t="shared" si="23"/>
        <v>383.94424703532434</v>
      </c>
      <c r="F74" s="5"/>
      <c r="G74" s="5">
        <f t="shared" si="31"/>
        <v>20.130405415124315</v>
      </c>
      <c r="H74" s="5">
        <f t="shared" si="24"/>
        <v>27.45167759160919</v>
      </c>
      <c r="I74" s="5">
        <f t="shared" si="25"/>
        <v>12.975464113417907</v>
      </c>
      <c r="J74" s="5">
        <f t="shared" si="26"/>
        <v>22.1089508542847</v>
      </c>
      <c r="K74" s="5">
        <f t="shared" si="27"/>
        <v>8.073482587793201</v>
      </c>
      <c r="L74" s="5">
        <f t="shared" si="28"/>
        <v>474.6842275975536</v>
      </c>
      <c r="M74" s="18">
        <v>6</v>
      </c>
      <c r="N74" s="5">
        <f t="shared" si="29"/>
        <v>79.1140379329256</v>
      </c>
      <c r="O74" s="6" t="s">
        <v>3</v>
      </c>
    </row>
    <row r="75" spans="2:15" ht="15">
      <c r="B75" s="4" t="s">
        <v>113</v>
      </c>
      <c r="C75" s="23">
        <v>1529.08</v>
      </c>
      <c r="D75" s="5">
        <f t="shared" si="30"/>
        <v>0.02665584450676018</v>
      </c>
      <c r="E75" s="5">
        <f t="shared" si="23"/>
        <v>961.7034191540374</v>
      </c>
      <c r="F75" s="5"/>
      <c r="G75" s="5">
        <f t="shared" si="31"/>
        <v>50.42263262483747</v>
      </c>
      <c r="H75" s="5">
        <f t="shared" si="24"/>
        <v>68.76095267794413</v>
      </c>
      <c r="I75" s="5">
        <f t="shared" si="25"/>
        <v>32.50093809020255</v>
      </c>
      <c r="J75" s="5">
        <f t="shared" si="26"/>
        <v>55.37849256670322</v>
      </c>
      <c r="K75" s="5">
        <f t="shared" si="27"/>
        <v>20.222456435053612</v>
      </c>
      <c r="L75" s="5">
        <f t="shared" si="28"/>
        <v>1188.9888915487782</v>
      </c>
      <c r="M75" s="18">
        <v>12</v>
      </c>
      <c r="N75" s="5">
        <f t="shared" si="29"/>
        <v>99.08240762906485</v>
      </c>
      <c r="O75" s="6" t="s">
        <v>92</v>
      </c>
    </row>
    <row r="76" spans="2:15" ht="15">
      <c r="B76" s="4" t="s">
        <v>114</v>
      </c>
      <c r="C76" s="23">
        <v>2050</v>
      </c>
      <c r="D76" s="5">
        <f t="shared" si="30"/>
        <v>0.035736836031377284</v>
      </c>
      <c r="E76" s="5">
        <f t="shared" si="23"/>
        <v>1289.332153494766</v>
      </c>
      <c r="F76" s="5"/>
      <c r="G76" s="5">
        <f t="shared" si="31"/>
        <v>67.60038512106419</v>
      </c>
      <c r="H76" s="5">
        <f t="shared" si="24"/>
        <v>92.18612040559388</v>
      </c>
      <c r="I76" s="5">
        <f t="shared" si="25"/>
        <v>43.57320943633769</v>
      </c>
      <c r="J76" s="5">
        <f t="shared" si="26"/>
        <v>74.24458482338505</v>
      </c>
      <c r="K76" s="5">
        <f t="shared" si="27"/>
        <v>27.111750655204375</v>
      </c>
      <c r="L76" s="5">
        <f t="shared" si="28"/>
        <v>1594.0482039363512</v>
      </c>
      <c r="M76" s="18">
        <v>13</v>
      </c>
      <c r="N76" s="5">
        <f t="shared" si="29"/>
        <v>122.61909261048855</v>
      </c>
      <c r="O76" s="6" t="s">
        <v>93</v>
      </c>
    </row>
    <row r="77" spans="2:15" ht="15">
      <c r="B77" s="4" t="s">
        <v>75</v>
      </c>
      <c r="C77" s="23">
        <v>440</v>
      </c>
      <c r="D77" s="5">
        <f t="shared" si="30"/>
        <v>0.007670345294539515</v>
      </c>
      <c r="E77" s="5">
        <f t="shared" si="23"/>
        <v>276.7347061159498</v>
      </c>
      <c r="F77" s="5"/>
      <c r="G77" s="5">
        <f t="shared" si="31"/>
        <v>14.509350952813778</v>
      </c>
      <c r="H77" s="5">
        <f t="shared" si="24"/>
        <v>19.786289257786006</v>
      </c>
      <c r="I77" s="5">
        <f t="shared" si="25"/>
        <v>9.35229861072614</v>
      </c>
      <c r="J77" s="5">
        <f t="shared" si="26"/>
        <v>15.93542308404362</v>
      </c>
      <c r="K77" s="5">
        <f t="shared" si="27"/>
        <v>5.819107457702403</v>
      </c>
      <c r="L77" s="5">
        <f t="shared" si="28"/>
        <v>342.1371754790218</v>
      </c>
      <c r="M77" s="18">
        <v>8</v>
      </c>
      <c r="N77" s="5">
        <f t="shared" si="29"/>
        <v>42.76714693487772</v>
      </c>
      <c r="O77" s="6" t="s">
        <v>10</v>
      </c>
    </row>
    <row r="78" spans="2:15" ht="15">
      <c r="B78" s="4" t="s">
        <v>74</v>
      </c>
      <c r="C78" s="23">
        <v>1461.75</v>
      </c>
      <c r="D78" s="5">
        <f t="shared" si="30"/>
        <v>0.025482107350666215</v>
      </c>
      <c r="E78" s="5">
        <f t="shared" si="23"/>
        <v>919.3567196931582</v>
      </c>
      <c r="F78" s="5"/>
      <c r="G78" s="5">
        <f t="shared" si="31"/>
        <v>48.20237217108077</v>
      </c>
      <c r="H78" s="5">
        <f t="shared" si="24"/>
        <v>65.73320073311066</v>
      </c>
      <c r="I78" s="5">
        <f t="shared" si="25"/>
        <v>31.0698238505203</v>
      </c>
      <c r="J78" s="5">
        <f t="shared" si="26"/>
        <v>52.94001066613809</v>
      </c>
      <c r="K78" s="5">
        <f t="shared" si="27"/>
        <v>19.332000741582924</v>
      </c>
      <c r="L78" s="5">
        <f t="shared" si="28"/>
        <v>1136.634127855591</v>
      </c>
      <c r="M78" s="18">
        <v>19</v>
      </c>
      <c r="N78" s="5">
        <f t="shared" si="29"/>
        <v>59.82284883450479</v>
      </c>
      <c r="O78" s="6" t="s">
        <v>7</v>
      </c>
    </row>
    <row r="79" spans="2:15" ht="15">
      <c r="B79" s="4" t="s">
        <v>76</v>
      </c>
      <c r="C79" s="23">
        <v>272.14</v>
      </c>
      <c r="D79" s="5">
        <f t="shared" si="30"/>
        <v>0.004744108564672689</v>
      </c>
      <c r="E79" s="5">
        <f t="shared" si="23"/>
        <v>171.16041573271494</v>
      </c>
      <c r="F79" s="5"/>
      <c r="G79" s="5">
        <f t="shared" si="31"/>
        <v>8.97403356431532</v>
      </c>
      <c r="H79" s="5">
        <f t="shared" si="24"/>
        <v>12.237819905940642</v>
      </c>
      <c r="I79" s="5">
        <f t="shared" si="25"/>
        <v>5.784396690734116</v>
      </c>
      <c r="J79" s="5">
        <f t="shared" si="26"/>
        <v>9.856059177480978</v>
      </c>
      <c r="K79" s="5">
        <f t="shared" si="27"/>
        <v>3.5991179625889353</v>
      </c>
      <c r="L79" s="5">
        <f t="shared" si="28"/>
        <v>211.61184303377493</v>
      </c>
      <c r="M79" s="18">
        <v>40</v>
      </c>
      <c r="N79" s="5">
        <f t="shared" si="29"/>
        <v>5.290296075844373</v>
      </c>
      <c r="O79" s="6" t="s">
        <v>95</v>
      </c>
    </row>
    <row r="80" spans="2:15" ht="15">
      <c r="B80" s="4" t="s">
        <v>77</v>
      </c>
      <c r="C80" s="23">
        <v>378.91</v>
      </c>
      <c r="D80" s="5">
        <f t="shared" si="30"/>
        <v>0.006605387580804471</v>
      </c>
      <c r="E80" s="5">
        <f t="shared" si="23"/>
        <v>238.31260794180577</v>
      </c>
      <c r="F80" s="5"/>
      <c r="G80" s="5">
        <f t="shared" si="31"/>
        <v>12.494859476206063</v>
      </c>
      <c r="H80" s="5">
        <f t="shared" si="24"/>
        <v>17.039142869699305</v>
      </c>
      <c r="I80" s="5">
        <f t="shared" si="25"/>
        <v>8.053816969523275</v>
      </c>
      <c r="J80" s="5">
        <f t="shared" si="26"/>
        <v>13.722934456306746</v>
      </c>
      <c r="K80" s="5">
        <f t="shared" si="27"/>
        <v>5.011177288177312</v>
      </c>
      <c r="L80" s="5">
        <f t="shared" si="28"/>
        <v>294.63453900171845</v>
      </c>
      <c r="M80" s="18">
        <v>20</v>
      </c>
      <c r="N80" s="5">
        <f t="shared" si="29"/>
        <v>14.731726950085923</v>
      </c>
      <c r="O80" s="6" t="s">
        <v>21</v>
      </c>
    </row>
    <row r="81" spans="2:15" ht="15">
      <c r="B81" s="4" t="s">
        <v>78</v>
      </c>
      <c r="C81" s="23">
        <v>606.89</v>
      </c>
      <c r="D81" s="5">
        <f t="shared" si="30"/>
        <v>0.010579672399552468</v>
      </c>
      <c r="E81" s="5">
        <f t="shared" si="23"/>
        <v>381.69892226070175</v>
      </c>
      <c r="F81" s="5"/>
      <c r="G81" s="5">
        <f t="shared" si="31"/>
        <v>20.012681817620802</v>
      </c>
      <c r="H81" s="5">
        <f t="shared" si="24"/>
        <v>27.29113883558579</v>
      </c>
      <c r="I81" s="5">
        <f t="shared" si="25"/>
        <v>12.899582963326333</v>
      </c>
      <c r="J81" s="5">
        <f t="shared" si="26"/>
        <v>21.979656626080075</v>
      </c>
      <c r="K81" s="5">
        <f t="shared" si="27"/>
        <v>8.026268465920479</v>
      </c>
      <c r="L81" s="5">
        <f t="shared" si="28"/>
        <v>471.90825096923527</v>
      </c>
      <c r="M81" s="18">
        <v>20</v>
      </c>
      <c r="N81" s="5">
        <f t="shared" si="29"/>
        <v>23.595412548461763</v>
      </c>
      <c r="O81" s="6" t="s">
        <v>30</v>
      </c>
    </row>
    <row r="82" spans="2:15" ht="30">
      <c r="B82" s="13" t="s">
        <v>79</v>
      </c>
      <c r="C82" s="23">
        <v>1217.14</v>
      </c>
      <c r="D82" s="5">
        <f t="shared" si="30"/>
        <v>0.02121791834499051</v>
      </c>
      <c r="E82" s="5">
        <f t="shared" si="23"/>
        <v>765.5110913681071</v>
      </c>
      <c r="F82" s="5"/>
      <c r="G82" s="5">
        <f t="shared" si="31"/>
        <v>40.13616231524491</v>
      </c>
      <c r="H82" s="5">
        <f t="shared" si="24"/>
        <v>54.733372970958314</v>
      </c>
      <c r="I82" s="5">
        <f t="shared" si="25"/>
        <v>25.87058347968003</v>
      </c>
      <c r="J82" s="5">
        <f t="shared" si="26"/>
        <v>44.08100193752921</v>
      </c>
      <c r="K82" s="5">
        <f t="shared" si="27"/>
        <v>16.09697375242705</v>
      </c>
      <c r="L82" s="5">
        <f t="shared" si="28"/>
        <v>946.4291858239466</v>
      </c>
      <c r="M82" s="18">
        <v>25</v>
      </c>
      <c r="N82" s="5">
        <f t="shared" si="29"/>
        <v>37.857167432957866</v>
      </c>
      <c r="O82" s="6" t="s">
        <v>5</v>
      </c>
    </row>
    <row r="83" spans="2:15" ht="15">
      <c r="B83" s="4" t="s">
        <v>80</v>
      </c>
      <c r="C83" s="23">
        <v>2011.43</v>
      </c>
      <c r="D83" s="5">
        <f t="shared" si="30"/>
        <v>0.03506446053589913</v>
      </c>
      <c r="E83" s="5">
        <f t="shared" si="23"/>
        <v>1265.0738407336476</v>
      </c>
      <c r="F83" s="5"/>
      <c r="G83" s="5">
        <f t="shared" si="31"/>
        <v>66.32850860685959</v>
      </c>
      <c r="H83" s="5">
        <f t="shared" si="24"/>
        <v>90.45167227679207</v>
      </c>
      <c r="I83" s="5">
        <f t="shared" si="25"/>
        <v>42.75339544221109</v>
      </c>
      <c r="J83" s="5">
        <f t="shared" si="26"/>
        <v>72.84770012258605</v>
      </c>
      <c r="K83" s="5">
        <f t="shared" si="27"/>
        <v>26.601652985559873</v>
      </c>
      <c r="L83" s="5">
        <f t="shared" si="28"/>
        <v>1564.0567701676562</v>
      </c>
      <c r="M83" s="6">
        <v>40</v>
      </c>
      <c r="N83" s="5">
        <f t="shared" si="29"/>
        <v>39.101419254191406</v>
      </c>
      <c r="O83" s="6" t="s">
        <v>10</v>
      </c>
    </row>
    <row r="84" spans="2:15" ht="15">
      <c r="B84" s="4" t="s">
        <v>81</v>
      </c>
      <c r="C84" s="23">
        <v>470</v>
      </c>
      <c r="D84" s="5">
        <f t="shared" si="30"/>
        <v>0.008193323382803572</v>
      </c>
      <c r="E84" s="5">
        <f t="shared" si="23"/>
        <v>295.6029815329464</v>
      </c>
      <c r="F84" s="5"/>
      <c r="G84" s="5">
        <f t="shared" si="31"/>
        <v>15.498624881414717</v>
      </c>
      <c r="H84" s="5">
        <f t="shared" si="24"/>
        <v>21.135354434453234</v>
      </c>
      <c r="I84" s="5">
        <f t="shared" si="25"/>
        <v>9.98995533418474</v>
      </c>
      <c r="J84" s="5">
        <f t="shared" si="26"/>
        <v>17.02192920341023</v>
      </c>
      <c r="K84" s="5">
        <f t="shared" si="27"/>
        <v>6.21586478436393</v>
      </c>
      <c r="L84" s="5">
        <f t="shared" si="28"/>
        <v>365.4647101707733</v>
      </c>
      <c r="M84" s="6">
        <v>17</v>
      </c>
      <c r="N84" s="5">
        <f t="shared" si="29"/>
        <v>21.497924127692546</v>
      </c>
      <c r="O84" s="6" t="s">
        <v>96</v>
      </c>
    </row>
    <row r="85" spans="2:15" ht="15">
      <c r="B85" s="4" t="s">
        <v>82</v>
      </c>
      <c r="C85" s="23">
        <v>780</v>
      </c>
      <c r="D85" s="5">
        <f t="shared" si="30"/>
        <v>0.013597430294865502</v>
      </c>
      <c r="E85" s="5">
        <f t="shared" si="23"/>
        <v>490.575160841911</v>
      </c>
      <c r="F85" s="5"/>
      <c r="G85" s="5">
        <f t="shared" si="31"/>
        <v>25.72112214362442</v>
      </c>
      <c r="H85" s="5">
        <f t="shared" si="24"/>
        <v>35.07569459334792</v>
      </c>
      <c r="I85" s="5">
        <f t="shared" si="25"/>
        <v>16.57907480992361</v>
      </c>
      <c r="J85" s="5">
        <f t="shared" si="26"/>
        <v>28.249159103531873</v>
      </c>
      <c r="K85" s="5">
        <f t="shared" si="27"/>
        <v>10.315690493199714</v>
      </c>
      <c r="L85" s="5">
        <f t="shared" si="28"/>
        <v>606.5159019855386</v>
      </c>
      <c r="M85" s="6">
        <v>20</v>
      </c>
      <c r="N85" s="5">
        <f t="shared" si="29"/>
        <v>30.325795099276927</v>
      </c>
      <c r="O85" s="6" t="s">
        <v>97</v>
      </c>
    </row>
    <row r="86" spans="2:15" ht="15">
      <c r="B86" s="4" t="s">
        <v>83</v>
      </c>
      <c r="C86" s="23">
        <v>1090</v>
      </c>
      <c r="D86" s="5">
        <f t="shared" si="30"/>
        <v>0.019001537206927432</v>
      </c>
      <c r="E86" s="5">
        <f t="shared" si="23"/>
        <v>685.5473401508756</v>
      </c>
      <c r="F86" s="5"/>
      <c r="G86" s="5">
        <f t="shared" si="31"/>
        <v>35.94361940583413</v>
      </c>
      <c r="H86" s="5">
        <f t="shared" si="24"/>
        <v>49.0160347522426</v>
      </c>
      <c r="I86" s="5">
        <f t="shared" si="25"/>
        <v>23.16819428566248</v>
      </c>
      <c r="J86" s="5">
        <f t="shared" si="26"/>
        <v>39.476389003653516</v>
      </c>
      <c r="K86" s="5">
        <f t="shared" si="27"/>
        <v>14.415516202035496</v>
      </c>
      <c r="L86" s="5">
        <f t="shared" si="28"/>
        <v>847.5670938003038</v>
      </c>
      <c r="M86" s="6">
        <v>25</v>
      </c>
      <c r="N86" s="5">
        <f t="shared" si="29"/>
        <v>33.90268375201215</v>
      </c>
      <c r="O86" s="6" t="s">
        <v>5</v>
      </c>
    </row>
    <row r="87" spans="2:15" ht="15">
      <c r="B87" s="14" t="s">
        <v>84</v>
      </c>
      <c r="C87" s="23">
        <v>403.21</v>
      </c>
      <c r="D87" s="5">
        <f t="shared" si="30"/>
        <v>0.007028999832298358</v>
      </c>
      <c r="E87" s="5">
        <f t="shared" si="23"/>
        <v>253.595911029573</v>
      </c>
      <c r="F87" s="5"/>
      <c r="G87" s="5">
        <f t="shared" si="31"/>
        <v>13.296171358372824</v>
      </c>
      <c r="H87" s="5">
        <f t="shared" si="24"/>
        <v>18.13188566279976</v>
      </c>
      <c r="I87" s="5">
        <f t="shared" si="25"/>
        <v>8.570318915524743</v>
      </c>
      <c r="J87" s="5">
        <f t="shared" si="26"/>
        <v>14.6030044129937</v>
      </c>
      <c r="K87" s="5">
        <f t="shared" si="27"/>
        <v>5.332550722773149</v>
      </c>
      <c r="L87" s="5">
        <f t="shared" si="28"/>
        <v>313.52984210203715</v>
      </c>
      <c r="M87" s="6">
        <v>15</v>
      </c>
      <c r="N87" s="5">
        <f t="shared" si="29"/>
        <v>20.901989473469143</v>
      </c>
      <c r="O87" s="6" t="s">
        <v>96</v>
      </c>
    </row>
    <row r="88" spans="2:15" ht="15">
      <c r="B88" s="14" t="s">
        <v>85</v>
      </c>
      <c r="C88" s="23">
        <v>512.05</v>
      </c>
      <c r="D88" s="5">
        <f t="shared" si="30"/>
        <v>0.00892636433652036</v>
      </c>
      <c r="E88" s="5">
        <f t="shared" si="23"/>
        <v>322.05001424243653</v>
      </c>
      <c r="F88" s="5"/>
      <c r="G88" s="5">
        <f t="shared" si="31"/>
        <v>16.88525717133703</v>
      </c>
      <c r="H88" s="5">
        <f t="shared" si="24"/>
        <v>23.02629412374846</v>
      </c>
      <c r="I88" s="5">
        <f t="shared" si="25"/>
        <v>10.883737508232544</v>
      </c>
      <c r="J88" s="5">
        <f t="shared" si="26"/>
        <v>18.544848614055763</v>
      </c>
      <c r="K88" s="5">
        <f t="shared" si="27"/>
        <v>6.77198630390117</v>
      </c>
      <c r="L88" s="5">
        <f t="shared" si="28"/>
        <v>398.1621379637115</v>
      </c>
      <c r="M88" s="6">
        <v>15</v>
      </c>
      <c r="N88" s="5">
        <f t="shared" si="29"/>
        <v>26.544142530914097</v>
      </c>
      <c r="O88" s="6" t="s">
        <v>30</v>
      </c>
    </row>
    <row r="89" spans="2:15" ht="15">
      <c r="B89" s="14" t="s">
        <v>86</v>
      </c>
      <c r="C89" s="23">
        <v>51.11</v>
      </c>
      <c r="D89" s="5">
        <f t="shared" si="30"/>
        <v>0.0008909803363725331</v>
      </c>
      <c r="E89" s="5">
        <f t="shared" si="23"/>
        <v>32.145251885423164</v>
      </c>
      <c r="F89" s="5"/>
      <c r="G89" s="5">
        <f t="shared" si="31"/>
        <v>1.6853930163598003</v>
      </c>
      <c r="H89" s="5">
        <f t="shared" si="24"/>
        <v>2.2983573726487334</v>
      </c>
      <c r="I89" s="5">
        <f t="shared" si="25"/>
        <v>1.0863545045323022</v>
      </c>
      <c r="J89" s="5">
        <f t="shared" si="26"/>
        <v>1.8510442586942486</v>
      </c>
      <c r="K89" s="5">
        <f t="shared" si="27"/>
        <v>0.6759422321890223</v>
      </c>
      <c r="L89" s="5">
        <f t="shared" si="28"/>
        <v>39.742343269847275</v>
      </c>
      <c r="M89" s="6">
        <v>3</v>
      </c>
      <c r="N89" s="5">
        <f t="shared" si="29"/>
        <v>13.247447756615758</v>
      </c>
      <c r="O89" s="6" t="s">
        <v>21</v>
      </c>
    </row>
    <row r="90" spans="2:15" ht="15">
      <c r="B90" s="14" t="s">
        <v>87</v>
      </c>
      <c r="C90" s="23">
        <v>210</v>
      </c>
      <c r="D90" s="5">
        <f t="shared" si="30"/>
        <v>0.0036608466178484045</v>
      </c>
      <c r="E90" s="5">
        <f t="shared" si="23"/>
        <v>132.07792791897603</v>
      </c>
      <c r="F90" s="5"/>
      <c r="G90" s="5">
        <f t="shared" si="31"/>
        <v>6.9249175002065755</v>
      </c>
      <c r="H90" s="5">
        <f t="shared" si="24"/>
        <v>9.443456236670594</v>
      </c>
      <c r="I90" s="5">
        <f t="shared" si="25"/>
        <v>4.4635970642102025</v>
      </c>
      <c r="J90" s="5">
        <f t="shared" si="26"/>
        <v>7.605542835566274</v>
      </c>
      <c r="K90" s="5">
        <f t="shared" si="27"/>
        <v>2.777301286630692</v>
      </c>
      <c r="L90" s="5">
        <f t="shared" si="28"/>
        <v>163.29274284226037</v>
      </c>
      <c r="M90" s="6">
        <v>7</v>
      </c>
      <c r="N90" s="5">
        <f t="shared" si="29"/>
        <v>23.32753469175148</v>
      </c>
      <c r="O90" s="6" t="s">
        <v>96</v>
      </c>
    </row>
    <row r="91" spans="2:15" ht="15">
      <c r="B91" s="14" t="s">
        <v>88</v>
      </c>
      <c r="C91" s="23">
        <v>611</v>
      </c>
      <c r="D91" s="5">
        <f t="shared" si="30"/>
        <v>0.010651320397644643</v>
      </c>
      <c r="E91" s="5">
        <f t="shared" si="23"/>
        <v>384.28387599283025</v>
      </c>
      <c r="F91" s="5"/>
      <c r="G91" s="5">
        <f t="shared" si="31"/>
        <v>20.14821234583913</v>
      </c>
      <c r="H91" s="5">
        <f t="shared" si="24"/>
        <v>27.4759607647892</v>
      </c>
      <c r="I91" s="5">
        <f t="shared" si="25"/>
        <v>12.98694193444016</v>
      </c>
      <c r="J91" s="5">
        <f t="shared" si="26"/>
        <v>22.1285079644333</v>
      </c>
      <c r="K91" s="5">
        <f t="shared" si="27"/>
        <v>8.080624219673108</v>
      </c>
      <c r="L91" s="5">
        <f t="shared" si="28"/>
        <v>475.1041232220051</v>
      </c>
      <c r="M91" s="6">
        <v>6</v>
      </c>
      <c r="N91" s="5">
        <f t="shared" si="29"/>
        <v>79.18402053700085</v>
      </c>
      <c r="O91" s="6" t="s">
        <v>3</v>
      </c>
    </row>
    <row r="92" spans="2:15" ht="15">
      <c r="B92" s="14" t="s">
        <v>89</v>
      </c>
      <c r="C92" s="23">
        <v>1043.15</v>
      </c>
      <c r="D92" s="5">
        <f t="shared" si="30"/>
        <v>0.018184819759088398</v>
      </c>
      <c r="E92" s="5">
        <f t="shared" si="23"/>
        <v>656.081383374666</v>
      </c>
      <c r="F92" s="5"/>
      <c r="G92" s="5">
        <f t="shared" si="31"/>
        <v>34.398703287335664</v>
      </c>
      <c r="H92" s="5">
        <f t="shared" si="24"/>
        <v>46.90924463468062</v>
      </c>
      <c r="I92" s="5">
        <f t="shared" si="25"/>
        <v>22.172387035861302</v>
      </c>
      <c r="J92" s="5">
        <f t="shared" si="26"/>
        <v>37.779628613909324</v>
      </c>
      <c r="K92" s="5">
        <f t="shared" si="27"/>
        <v>13.795913510232413</v>
      </c>
      <c r="L92" s="5">
        <f t="shared" si="28"/>
        <v>811.1372604566852</v>
      </c>
      <c r="M92" s="6">
        <v>8</v>
      </c>
      <c r="N92" s="5">
        <f t="shared" si="29"/>
        <v>101.39215755708565</v>
      </c>
      <c r="O92" s="6" t="s">
        <v>92</v>
      </c>
    </row>
    <row r="93" spans="2:15" ht="15">
      <c r="B93" s="14" t="s">
        <v>90</v>
      </c>
      <c r="C93" s="23">
        <v>2260.87</v>
      </c>
      <c r="D93" s="5">
        <f t="shared" si="30"/>
        <v>0.03941284901378534</v>
      </c>
      <c r="E93" s="5">
        <f t="shared" si="23"/>
        <v>1421.9572614008348</v>
      </c>
      <c r="F93" s="5"/>
      <c r="G93" s="5">
        <f t="shared" si="31"/>
        <v>74.55399156520018</v>
      </c>
      <c r="H93" s="5">
        <f t="shared" si="24"/>
        <v>101.66869953238782</v>
      </c>
      <c r="I93" s="5">
        <f t="shared" si="25"/>
        <v>48.05529854552819</v>
      </c>
      <c r="J93" s="5">
        <f t="shared" si="26"/>
        <v>81.88163633641295</v>
      </c>
      <c r="K93" s="5">
        <f t="shared" si="27"/>
        <v>29.900557904308247</v>
      </c>
      <c r="L93" s="5">
        <f t="shared" si="28"/>
        <v>1758.0174452846722</v>
      </c>
      <c r="M93" s="6">
        <v>12</v>
      </c>
      <c r="N93" s="5">
        <f>L93/M93</f>
        <v>146.5014537737227</v>
      </c>
      <c r="O93" s="6" t="s">
        <v>65</v>
      </c>
    </row>
    <row r="94" spans="2:15" ht="15">
      <c r="B94" s="30" t="s">
        <v>115</v>
      </c>
      <c r="C94" s="23">
        <v>1300</v>
      </c>
      <c r="D94" s="5">
        <f t="shared" si="30"/>
        <v>0.02266238382477584</v>
      </c>
      <c r="E94" s="5">
        <f t="shared" si="23"/>
        <v>817.6252680698517</v>
      </c>
      <c r="F94" s="5"/>
      <c r="G94" s="5">
        <f t="shared" si="31"/>
        <v>42.8685369060407</v>
      </c>
      <c r="H94" s="5">
        <f t="shared" si="24"/>
        <v>58.459490988913196</v>
      </c>
      <c r="I94" s="5">
        <f t="shared" si="25"/>
        <v>27.631791349872685</v>
      </c>
      <c r="J94" s="5">
        <f t="shared" si="26"/>
        <v>47.08193183921979</v>
      </c>
      <c r="K94" s="5">
        <f t="shared" si="27"/>
        <v>17.19281748866619</v>
      </c>
      <c r="L94" s="5">
        <f t="shared" si="28"/>
        <v>1010.8598366425642</v>
      </c>
      <c r="M94" s="6">
        <v>20</v>
      </c>
      <c r="N94" s="5">
        <f>L94/M94</f>
        <v>50.54299183212821</v>
      </c>
      <c r="O94" s="6" t="s">
        <v>28</v>
      </c>
    </row>
    <row r="95" spans="2:15" ht="15">
      <c r="B95" s="30" t="s">
        <v>116</v>
      </c>
      <c r="C95" s="23">
        <v>1500</v>
      </c>
      <c r="D95" s="5">
        <f t="shared" si="30"/>
        <v>0.02614890441320289</v>
      </c>
      <c r="E95" s="5">
        <f t="shared" si="23"/>
        <v>943.4137708498288</v>
      </c>
      <c r="F95" s="5"/>
      <c r="G95" s="5">
        <f t="shared" si="31"/>
        <v>49.463696430046966</v>
      </c>
      <c r="H95" s="5">
        <f t="shared" si="24"/>
        <v>67.45325883336137</v>
      </c>
      <c r="I95" s="5">
        <f t="shared" si="25"/>
        <v>31.882836172930016</v>
      </c>
      <c r="J95" s="5">
        <f t="shared" si="26"/>
        <v>54.325305968330525</v>
      </c>
      <c r="K95" s="5">
        <f t="shared" si="27"/>
        <v>19.83786633307637</v>
      </c>
      <c r="L95" s="5">
        <f t="shared" si="28"/>
        <v>1166.376734587574</v>
      </c>
      <c r="M95" s="6">
        <v>23</v>
      </c>
      <c r="N95" s="5">
        <f>L95/M95</f>
        <v>50.71203193859017</v>
      </c>
      <c r="O95" s="6" t="s">
        <v>28</v>
      </c>
    </row>
    <row r="96" spans="2:15" ht="15">
      <c r="B96" s="30" t="s">
        <v>117</v>
      </c>
      <c r="C96" s="23">
        <v>2600</v>
      </c>
      <c r="D96" s="5">
        <f t="shared" si="30"/>
        <v>0.04532476764955168</v>
      </c>
      <c r="E96" s="5">
        <f t="shared" si="23"/>
        <v>1635.2505361397034</v>
      </c>
      <c r="F96" s="5"/>
      <c r="G96" s="5">
        <f t="shared" si="31"/>
        <v>85.7370738120814</v>
      </c>
      <c r="H96" s="5">
        <f t="shared" si="24"/>
        <v>116.91898197782639</v>
      </c>
      <c r="I96" s="5">
        <f t="shared" si="25"/>
        <v>55.26358269974537</v>
      </c>
      <c r="J96" s="5">
        <f t="shared" si="26"/>
        <v>94.16386367843958</v>
      </c>
      <c r="K96" s="5">
        <f t="shared" si="27"/>
        <v>34.38563497733238</v>
      </c>
      <c r="L96" s="5">
        <f t="shared" si="28"/>
        <v>2021.7196732851285</v>
      </c>
      <c r="M96" s="6">
        <v>29</v>
      </c>
      <c r="N96" s="5">
        <f>L96/M96</f>
        <v>69.71447149259063</v>
      </c>
      <c r="O96" s="6" t="s">
        <v>135</v>
      </c>
    </row>
    <row r="97" spans="2:15" ht="15">
      <c r="B97" s="4"/>
      <c r="C97" s="2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ht="15">
      <c r="B98" s="4" t="s">
        <v>52</v>
      </c>
      <c r="C98" s="26">
        <f>SUM(C67:C97)</f>
        <v>57363.78000000001</v>
      </c>
      <c r="D98" s="11"/>
      <c r="E98" s="9">
        <f>SUM(E67:E97)</f>
        <v>36078.52</v>
      </c>
      <c r="F98" s="9"/>
      <c r="G98" s="9">
        <f>SUM(G67:G97)</f>
        <v>1891.6163999999999</v>
      </c>
      <c r="H98" s="9">
        <f>H67+H68+H69+H70+H71+H72+H73+H74+H75+H76+H77+H78+H79+H81+H80+H82+H83+H84+H85+H86+H87+H88+H89+H90+H91+H92+H93+H94+H95+H96</f>
        <v>2579.5825999999993</v>
      </c>
      <c r="I98" s="9">
        <f>SUM(I67:I97)</f>
        <v>1219.2799999999993</v>
      </c>
      <c r="J98" s="9">
        <f>SUM(J67:J96)</f>
        <v>2077.5365999999995</v>
      </c>
      <c r="K98" s="9">
        <f>SUM(K67:K97)</f>
        <v>758.6499999999999</v>
      </c>
      <c r="L98" s="9">
        <f>SUM(L67:L97)</f>
        <v>44605.18560000001</v>
      </c>
      <c r="M98" s="4"/>
      <c r="N98" s="4"/>
      <c r="O98" s="4"/>
    </row>
    <row r="100" spans="2:5" ht="15">
      <c r="B100" t="s">
        <v>98</v>
      </c>
      <c r="E100" s="16"/>
    </row>
    <row r="101" ht="15">
      <c r="B101" t="s">
        <v>99</v>
      </c>
    </row>
    <row r="102" ht="15">
      <c r="B102" t="s">
        <v>100</v>
      </c>
    </row>
    <row r="103" ht="15">
      <c r="B103" t="s">
        <v>101</v>
      </c>
    </row>
    <row r="104" ht="15">
      <c r="B104" t="s">
        <v>102</v>
      </c>
    </row>
    <row r="105" ht="15">
      <c r="B105" t="s">
        <v>103</v>
      </c>
    </row>
    <row r="107" spans="2:4" ht="15">
      <c r="B107" t="s">
        <v>104</v>
      </c>
      <c r="C107" s="15"/>
      <c r="D107" t="s">
        <v>106</v>
      </c>
    </row>
  </sheetData>
  <sheetProtection/>
  <mergeCells count="18">
    <mergeCell ref="B5:G5"/>
    <mergeCell ref="B47:O47"/>
    <mergeCell ref="B59:O59"/>
    <mergeCell ref="B1:R1"/>
    <mergeCell ref="B2:R2"/>
    <mergeCell ref="E18:L18"/>
    <mergeCell ref="B18:B19"/>
    <mergeCell ref="C18:C19"/>
    <mergeCell ref="D18:D19"/>
    <mergeCell ref="M18:M19"/>
    <mergeCell ref="N18:N19"/>
    <mergeCell ref="B32:O32"/>
    <mergeCell ref="B37:O37"/>
    <mergeCell ref="O18:O19"/>
    <mergeCell ref="A3:O3"/>
    <mergeCell ref="B20:O20"/>
    <mergeCell ref="B31:O31"/>
    <mergeCell ref="B6:Q6"/>
  </mergeCells>
  <printOptions/>
  <pageMargins left="0.7086614173228347" right="0.7086614173228347" top="0.3937007874015748" bottom="0.3937007874015748" header="0.31496062992125984" footer="0.31496062992125984"/>
  <pageSetup fitToHeight="3" fitToWidth="1" horizontalDpi="600" verticalDpi="600" orientation="landscape" paperSize="9" scale="56" r:id="rId1"/>
  <ignoredErrors>
    <ignoredError sqref="H98 J98 H6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zoomScalePageLayoutView="0" workbookViewId="0" topLeftCell="A79">
      <selection activeCell="N98" sqref="N98"/>
    </sheetView>
  </sheetViews>
  <sheetFormatPr defaultColWidth="9.140625" defaultRowHeight="15"/>
  <cols>
    <col min="1" max="1" width="4.28125" style="0" customWidth="1"/>
    <col min="2" max="2" width="42.140625" style="0" customWidth="1"/>
    <col min="3" max="3" width="13.140625" style="0" customWidth="1"/>
    <col min="4" max="4" width="14.00390625" style="0" customWidth="1"/>
    <col min="5" max="5" width="12.140625" style="0" customWidth="1"/>
    <col min="6" max="13" width="10.57421875" style="0" customWidth="1"/>
    <col min="14" max="14" width="12.7109375" style="0" customWidth="1"/>
    <col min="15" max="15" width="14.421875" style="0" customWidth="1"/>
    <col min="16" max="16" width="16.140625" style="0" customWidth="1"/>
  </cols>
  <sheetData>
    <row r="1" spans="2:19" ht="15">
      <c r="B1" s="38" t="s">
        <v>46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2:19" ht="15">
      <c r="B2" s="38" t="s">
        <v>126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20" ht="49.5" customHeight="1">
      <c r="A3" s="39" t="s">
        <v>128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2"/>
      <c r="R3" s="2"/>
      <c r="S3" s="2"/>
      <c r="T3" s="2"/>
    </row>
    <row r="4" ht="15">
      <c r="A4" t="s">
        <v>47</v>
      </c>
    </row>
    <row r="5" spans="2:7" ht="15">
      <c r="B5" s="40" t="s">
        <v>123</v>
      </c>
      <c r="C5" s="40"/>
      <c r="D5" s="40"/>
      <c r="E5" s="40"/>
      <c r="F5" s="40"/>
      <c r="G5" s="40"/>
    </row>
    <row r="6" spans="2:18" ht="15">
      <c r="B6" s="40" t="s">
        <v>129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8" spans="2:15" ht="15">
      <c r="B8" s="1" t="s">
        <v>124</v>
      </c>
      <c r="C8" s="1"/>
      <c r="D8" s="1"/>
      <c r="E8" s="17">
        <v>4588829.04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2:4" ht="15">
      <c r="B9" t="s">
        <v>105</v>
      </c>
      <c r="C9" s="17">
        <f>61583.76+47798.31</f>
        <v>109382.07</v>
      </c>
      <c r="D9" s="17"/>
    </row>
    <row r="10" spans="2:3" ht="15">
      <c r="B10" t="s">
        <v>61</v>
      </c>
      <c r="C10" s="20">
        <f>2265458+684168</f>
        <v>2949626</v>
      </c>
    </row>
    <row r="11" spans="2:3" ht="15">
      <c r="B11" t="s">
        <v>107</v>
      </c>
      <c r="C11" s="20">
        <v>49760</v>
      </c>
    </row>
    <row r="12" spans="2:3" ht="15">
      <c r="B12" t="s">
        <v>49</v>
      </c>
      <c r="C12" s="20">
        <f>669942.26-13908.07-54.13-33588.05-159.2-88.86</f>
        <v>622143.9500000001</v>
      </c>
    </row>
    <row r="13" spans="2:5" ht="15">
      <c r="B13" t="s">
        <v>121</v>
      </c>
      <c r="C13" s="20">
        <f>379311.73-488.55-2052.16-142.68</f>
        <v>376628.34</v>
      </c>
      <c r="E13" s="20"/>
    </row>
    <row r="14" spans="2:12" ht="15">
      <c r="B14" t="s">
        <v>50</v>
      </c>
      <c r="C14" s="20">
        <v>83277.28</v>
      </c>
      <c r="E14" s="16"/>
      <c r="F14" s="16"/>
      <c r="G14" s="16"/>
      <c r="H14" s="16"/>
      <c r="K14" s="16"/>
      <c r="L14" s="16"/>
    </row>
    <row r="15" spans="2:12" ht="15">
      <c r="B15" t="s">
        <v>109</v>
      </c>
      <c r="C15" s="20">
        <f>380642.56-617.41</f>
        <v>380025.15</v>
      </c>
      <c r="E15" s="16"/>
      <c r="F15" s="16"/>
      <c r="G15" s="16"/>
      <c r="H15" s="16"/>
      <c r="K15" s="16"/>
      <c r="L15" s="16"/>
    </row>
    <row r="16" spans="2:12" ht="15">
      <c r="B16" t="s">
        <v>51</v>
      </c>
      <c r="C16" s="20">
        <v>816</v>
      </c>
      <c r="K16" s="16"/>
      <c r="L16" s="16"/>
    </row>
    <row r="17" spans="2:12" ht="15">
      <c r="B17" t="s">
        <v>127</v>
      </c>
      <c r="C17" s="20">
        <v>19474</v>
      </c>
      <c r="K17" s="16"/>
      <c r="L17" s="16"/>
    </row>
    <row r="18" spans="2:3" ht="30">
      <c r="B18" s="21" t="s">
        <v>125</v>
      </c>
      <c r="C18" s="22">
        <f>C10+C12+C13+C14+C15+C16+C11+C17</f>
        <v>4481750.72</v>
      </c>
    </row>
    <row r="19" spans="2:16" ht="39.75" customHeight="1">
      <c r="B19" s="41" t="s">
        <v>0</v>
      </c>
      <c r="C19" s="34" t="s">
        <v>53</v>
      </c>
      <c r="D19" s="34" t="s">
        <v>60</v>
      </c>
      <c r="E19" s="34" t="s">
        <v>57</v>
      </c>
      <c r="F19" s="34"/>
      <c r="G19" s="34"/>
      <c r="H19" s="34"/>
      <c r="I19" s="34"/>
      <c r="J19" s="34"/>
      <c r="K19" s="34"/>
      <c r="L19" s="34"/>
      <c r="M19" s="34"/>
      <c r="N19" s="34" t="s">
        <v>55</v>
      </c>
      <c r="O19" s="34" t="s">
        <v>56</v>
      </c>
      <c r="P19" s="34" t="s">
        <v>48</v>
      </c>
    </row>
    <row r="20" spans="2:16" ht="55.5" customHeight="1">
      <c r="B20" s="41"/>
      <c r="C20" s="34"/>
      <c r="D20" s="34"/>
      <c r="E20" s="19" t="s">
        <v>58</v>
      </c>
      <c r="F20" s="19" t="s">
        <v>107</v>
      </c>
      <c r="G20" s="19" t="s">
        <v>59</v>
      </c>
      <c r="H20" s="19" t="s">
        <v>108</v>
      </c>
      <c r="I20" s="19" t="s">
        <v>50</v>
      </c>
      <c r="J20" s="19" t="s">
        <v>109</v>
      </c>
      <c r="K20" s="19" t="s">
        <v>51</v>
      </c>
      <c r="L20" s="19" t="s">
        <v>127</v>
      </c>
      <c r="M20" s="19" t="s">
        <v>54</v>
      </c>
      <c r="N20" s="34"/>
      <c r="O20" s="34"/>
      <c r="P20" s="34"/>
    </row>
    <row r="21" spans="2:16" ht="15">
      <c r="B21" s="31" t="s">
        <v>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</row>
    <row r="22" spans="2:16" ht="15">
      <c r="B22" s="4" t="s">
        <v>2</v>
      </c>
      <c r="C22" s="23">
        <f>94823.84+142000*3+144500*3</f>
        <v>954323.84</v>
      </c>
      <c r="D22" s="5">
        <f>C22/C63</f>
        <v>0.08399249453439735</v>
      </c>
      <c r="E22" s="5">
        <f>D22*0.9*$C$10</f>
        <v>222971.8011151647</v>
      </c>
      <c r="F22" s="5">
        <f>$C$11*0.9*D22</f>
        <v>3761.519875228451</v>
      </c>
      <c r="G22" s="5">
        <f>$C$12*0.9*D22</f>
        <v>47029.880087985046</v>
      </c>
      <c r="H22" s="5">
        <f>$C$13*0.9*D22</f>
        <v>28470.558410054236</v>
      </c>
      <c r="I22" s="5">
        <f>$C$14*0.9*D22</f>
        <v>6295.199836715529</v>
      </c>
      <c r="J22" s="5">
        <f>$C$15*0.9*D22</f>
        <v>28727.33430087768</v>
      </c>
      <c r="K22" s="5">
        <f aca="true" t="shared" si="0" ref="K22:K31">$C$16*0.9*D22</f>
        <v>61.68408798606141</v>
      </c>
      <c r="L22" s="5">
        <f>$C$17*0.9*D22</f>
        <v>1472.1028547065687</v>
      </c>
      <c r="M22" s="5">
        <f>K22+E22+F22+G22+H22+I22+J22+L22</f>
        <v>338790.0805687183</v>
      </c>
      <c r="N22" s="6">
        <v>2800</v>
      </c>
      <c r="O22" s="5">
        <f>M22/N22</f>
        <v>120.99645734597082</v>
      </c>
      <c r="P22" s="6" t="s">
        <v>93</v>
      </c>
    </row>
    <row r="23" spans="2:16" ht="15">
      <c r="B23" s="4" t="s">
        <v>4</v>
      </c>
      <c r="C23" s="23">
        <v>167890</v>
      </c>
      <c r="D23" s="5">
        <f>C23/C63</f>
        <v>0.014776430511659408</v>
      </c>
      <c r="E23" s="5">
        <f>D23*0.9*$C$10</f>
        <v>39226.449261945505</v>
      </c>
      <c r="F23" s="5">
        <f aca="true" t="shared" si="1" ref="F23:F31">$C$11*0.9*D23</f>
        <v>661.7476640341549</v>
      </c>
      <c r="G23" s="5">
        <f>$C$12*0.9*D23</f>
        <v>8273.760160881875</v>
      </c>
      <c r="H23" s="5">
        <f>$C$13*0.9*D23</f>
        <v>5008.700245258471</v>
      </c>
      <c r="I23" s="5">
        <f aca="true" t="shared" si="2" ref="I23:I31">$C$14*0.9*D23</f>
        <v>1107.4868470080032</v>
      </c>
      <c r="J23" s="5">
        <f aca="true" t="shared" si="3" ref="J23:J31">$C$15*0.9*D23</f>
        <v>5053.873699492149</v>
      </c>
      <c r="K23" s="5">
        <f t="shared" si="0"/>
        <v>10.85181056776267</v>
      </c>
      <c r="L23" s="5">
        <f aca="true" t="shared" si="4" ref="L23:L31">$C$17*0.9*D23</f>
        <v>258.9805870056498</v>
      </c>
      <c r="M23" s="5">
        <f aca="true" t="shared" si="5" ref="M23:M31">K23+E23+F23+G23+H23+I23+J23+L23</f>
        <v>59601.850276193574</v>
      </c>
      <c r="N23" s="6">
        <v>1200</v>
      </c>
      <c r="O23" s="5">
        <f aca="true" t="shared" si="6" ref="O23:O31">M23/N23</f>
        <v>49.668208563494645</v>
      </c>
      <c r="P23" s="6" t="s">
        <v>28</v>
      </c>
    </row>
    <row r="24" spans="2:16" ht="15">
      <c r="B24" s="4" t="s">
        <v>6</v>
      </c>
      <c r="C24" s="23">
        <v>1843036.47</v>
      </c>
      <c r="D24" s="5">
        <f>C24/C63</f>
        <v>0.1622103778033775</v>
      </c>
      <c r="E24" s="5">
        <f>D24*0.9*$C$10</f>
        <v>430613.95305479865</v>
      </c>
      <c r="F24" s="5">
        <f t="shared" si="1"/>
        <v>7264.429559546457</v>
      </c>
      <c r="G24" s="5">
        <f>$C$12*0.9*D24</f>
        <v>90826.38465982705</v>
      </c>
      <c r="H24" s="5">
        <f aca="true" t="shared" si="7" ref="H24:H31">$C$13*0.9*D24</f>
        <v>54983.722790573025</v>
      </c>
      <c r="I24" s="5">
        <f t="shared" si="2"/>
        <v>12157.595146113887</v>
      </c>
      <c r="J24" s="5">
        <f t="shared" si="3"/>
        <v>55479.62084065668</v>
      </c>
      <c r="K24" s="5">
        <f t="shared" si="0"/>
        <v>119.12730145880043</v>
      </c>
      <c r="L24" s="5">
        <f t="shared" si="4"/>
        <v>2842.9964076086762</v>
      </c>
      <c r="M24" s="5">
        <f>K24+E24+F24+G24+H24+I24+J24+L24</f>
        <v>654287.8297605834</v>
      </c>
      <c r="N24" s="6">
        <v>6500</v>
      </c>
      <c r="O24" s="5">
        <f t="shared" si="6"/>
        <v>100.65966611701282</v>
      </c>
      <c r="P24" s="6" t="s">
        <v>92</v>
      </c>
    </row>
    <row r="25" spans="2:16" ht="15">
      <c r="B25" s="4" t="s">
        <v>8</v>
      </c>
      <c r="C25" s="23">
        <v>577245.36</v>
      </c>
      <c r="D25" s="5">
        <f>C25/C63</f>
        <v>0.050804848116134484</v>
      </c>
      <c r="E25" s="5">
        <f aca="true" t="shared" si="8" ref="E25:E30">D25*0.9*$C$10</f>
        <v>134869.77083646116</v>
      </c>
      <c r="F25" s="5">
        <f t="shared" si="1"/>
        <v>2275.244318032967</v>
      </c>
      <c r="G25" s="5">
        <f aca="true" t="shared" si="9" ref="G25:G31">$C$12*0.9*D25</f>
        <v>28447.135997509773</v>
      </c>
      <c r="H25" s="5">
        <f t="shared" si="7"/>
        <v>17221.091048938673</v>
      </c>
      <c r="I25" s="5">
        <f t="shared" si="2"/>
        <v>3807.800605732323</v>
      </c>
      <c r="J25" s="5">
        <f t="shared" si="3"/>
        <v>17376.408023455104</v>
      </c>
      <c r="K25" s="5">
        <f t="shared" si="0"/>
        <v>37.311080456489165</v>
      </c>
      <c r="L25" s="5">
        <f t="shared" si="4"/>
        <v>890.4362509922428</v>
      </c>
      <c r="M25" s="5">
        <f t="shared" si="5"/>
        <v>204925.19816157874</v>
      </c>
      <c r="N25" s="6">
        <v>3400</v>
      </c>
      <c r="O25" s="5">
        <f t="shared" si="6"/>
        <v>60.272117106346684</v>
      </c>
      <c r="P25" s="6" t="s">
        <v>7</v>
      </c>
    </row>
    <row r="26" spans="2:16" ht="15">
      <c r="B26" s="4" t="s">
        <v>9</v>
      </c>
      <c r="C26" s="23">
        <v>31048.29</v>
      </c>
      <c r="D26" s="5">
        <f>C26/C63</f>
        <v>0.002732639821852699</v>
      </c>
      <c r="E26" s="5">
        <f t="shared" si="8"/>
        <v>7254.23892045488</v>
      </c>
      <c r="F26" s="5">
        <f t="shared" si="1"/>
        <v>122.37854178185127</v>
      </c>
      <c r="G26" s="5">
        <f t="shared" si="9"/>
        <v>1530.0857994252613</v>
      </c>
      <c r="H26" s="5">
        <f t="shared" si="7"/>
        <v>926.2706399300502</v>
      </c>
      <c r="I26" s="5">
        <f t="shared" si="2"/>
        <v>204.8101304252196</v>
      </c>
      <c r="J26" s="5">
        <f t="shared" si="3"/>
        <v>934.6246723759907</v>
      </c>
      <c r="K26" s="5">
        <f t="shared" si="0"/>
        <v>2.006850685168622</v>
      </c>
      <c r="L26" s="5">
        <f t="shared" si="4"/>
        <v>47.89388510168352</v>
      </c>
      <c r="M26" s="5">
        <f t="shared" si="5"/>
        <v>11022.309440180105</v>
      </c>
      <c r="N26" s="6">
        <v>185</v>
      </c>
      <c r="O26" s="5">
        <f t="shared" si="6"/>
        <v>59.58005102800057</v>
      </c>
      <c r="P26" s="6" t="s">
        <v>7</v>
      </c>
    </row>
    <row r="27" spans="2:16" ht="15">
      <c r="B27" s="4" t="s">
        <v>11</v>
      </c>
      <c r="C27" s="23">
        <v>415000</v>
      </c>
      <c r="D27" s="5">
        <f>C27/C63</f>
        <v>0.036525216882117184</v>
      </c>
      <c r="E27" s="5">
        <f t="shared" si="8"/>
        <v>96962.15643401862</v>
      </c>
      <c r="F27" s="5">
        <f t="shared" si="1"/>
        <v>1635.745312848736</v>
      </c>
      <c r="G27" s="5">
        <f t="shared" si="9"/>
        <v>20451.548435082364</v>
      </c>
      <c r="H27" s="5">
        <f t="shared" si="7"/>
        <v>12380.788622206595</v>
      </c>
      <c r="I27" s="5">
        <f t="shared" si="2"/>
        <v>2737.54864201752</v>
      </c>
      <c r="J27" s="5">
        <f t="shared" si="3"/>
        <v>12492.450921968204</v>
      </c>
      <c r="K27" s="5">
        <f t="shared" si="0"/>
        <v>26.82411927822686</v>
      </c>
      <c r="L27" s="5">
        <f t="shared" si="4"/>
        <v>640.1628662061152</v>
      </c>
      <c r="M27" s="5">
        <f t="shared" si="5"/>
        <v>147327.2253536264</v>
      </c>
      <c r="N27" s="6">
        <v>2480</v>
      </c>
      <c r="O27" s="5">
        <f>M27/N27</f>
        <v>59.40613925549451</v>
      </c>
      <c r="P27" s="6" t="s">
        <v>7</v>
      </c>
    </row>
    <row r="28" spans="2:16" ht="15">
      <c r="B28" s="4" t="s">
        <v>12</v>
      </c>
      <c r="C28" s="23">
        <v>1874500</v>
      </c>
      <c r="D28" s="5">
        <f>C28/C63</f>
        <v>0.1649795639651293</v>
      </c>
      <c r="E28" s="5">
        <f t="shared" si="8"/>
        <v>437965.2102061877</v>
      </c>
      <c r="F28" s="5">
        <f t="shared" si="1"/>
        <v>7388.444792614351</v>
      </c>
      <c r="G28" s="5">
        <f t="shared" si="9"/>
        <v>92376.9338350889</v>
      </c>
      <c r="H28" s="5">
        <f t="shared" si="7"/>
        <v>55922.38137909943</v>
      </c>
      <c r="I28" s="5">
        <f t="shared" si="2"/>
        <v>12365.144408341785</v>
      </c>
      <c r="J28" s="5">
        <f t="shared" si="3"/>
        <v>56426.745188504574</v>
      </c>
      <c r="K28" s="5">
        <f t="shared" si="0"/>
        <v>121.16099177599096</v>
      </c>
      <c r="L28" s="5">
        <f t="shared" si="4"/>
        <v>2891.5308257912357</v>
      </c>
      <c r="M28" s="5">
        <f t="shared" si="5"/>
        <v>665457.5516274038</v>
      </c>
      <c r="N28" s="6">
        <v>11000</v>
      </c>
      <c r="O28" s="5">
        <f>M28/N28</f>
        <v>60.49614105703671</v>
      </c>
      <c r="P28" s="6" t="s">
        <v>7</v>
      </c>
    </row>
    <row r="29" spans="2:16" ht="15">
      <c r="B29" s="28" t="s">
        <v>120</v>
      </c>
      <c r="C29" s="23">
        <v>398000</v>
      </c>
      <c r="D29" s="5">
        <f>C29/C63</f>
        <v>0.03502900317851238</v>
      </c>
      <c r="E29" s="5">
        <f t="shared" si="8"/>
        <v>92990.2126764805</v>
      </c>
      <c r="F29" s="5">
        <f t="shared" si="1"/>
        <v>1568.7388783464985</v>
      </c>
      <c r="G29" s="5">
        <f t="shared" si="9"/>
        <v>19613.774161838024</v>
      </c>
      <c r="H29" s="5">
        <f t="shared" si="7"/>
        <v>11873.62378708006</v>
      </c>
      <c r="I29" s="5">
        <f t="shared" si="2"/>
        <v>2625.4080952360787</v>
      </c>
      <c r="J29" s="5">
        <f t="shared" si="3"/>
        <v>11980.71196853818</v>
      </c>
      <c r="K29" s="5">
        <f t="shared" si="0"/>
        <v>25.725299934299493</v>
      </c>
      <c r="L29" s="5">
        <f t="shared" si="4"/>
        <v>613.9393271085152</v>
      </c>
      <c r="M29" s="5">
        <f t="shared" si="5"/>
        <v>141292.13419456218</v>
      </c>
      <c r="N29" s="6">
        <v>1750</v>
      </c>
      <c r="O29" s="5">
        <f>M29/N29</f>
        <v>80.73836239689268</v>
      </c>
      <c r="P29" s="6" t="s">
        <v>3</v>
      </c>
    </row>
    <row r="30" spans="2:16" ht="15">
      <c r="B30" s="4" t="s">
        <v>13</v>
      </c>
      <c r="C30" s="23">
        <v>387245.36</v>
      </c>
      <c r="D30" s="5">
        <f>C30/C63</f>
        <v>0.034082459664080834</v>
      </c>
      <c r="E30" s="5">
        <f t="shared" si="8"/>
        <v>90477.45825221168</v>
      </c>
      <c r="F30" s="5">
        <f t="shared" si="1"/>
        <v>1526.3488735961962</v>
      </c>
      <c r="G30" s="5">
        <f t="shared" si="9"/>
        <v>19083.776473014233</v>
      </c>
      <c r="H30" s="5">
        <f t="shared" si="7"/>
        <v>11552.778185759751</v>
      </c>
      <c r="I30" s="5">
        <f t="shared" si="2"/>
        <v>2554.465082880929</v>
      </c>
      <c r="J30" s="5">
        <f t="shared" si="3"/>
        <v>11656.972661590142</v>
      </c>
      <c r="K30" s="5">
        <f t="shared" si="0"/>
        <v>25.030158377300964</v>
      </c>
      <c r="L30" s="5">
        <f t="shared" si="4"/>
        <v>597.3496375484792</v>
      </c>
      <c r="M30" s="5">
        <f t="shared" si="5"/>
        <v>137474.1793249787</v>
      </c>
      <c r="N30" s="6">
        <v>1370</v>
      </c>
      <c r="O30" s="5">
        <f t="shared" si="6"/>
        <v>100.34611629560489</v>
      </c>
      <c r="P30" s="6" t="s">
        <v>92</v>
      </c>
    </row>
    <row r="31" spans="2:16" ht="15">
      <c r="B31" s="4" t="s">
        <v>14</v>
      </c>
      <c r="C31" s="23">
        <v>1666157.76</v>
      </c>
      <c r="D31" s="5">
        <f>C31/C63</f>
        <v>0.1466428278164399</v>
      </c>
      <c r="E31" s="5">
        <f>D31*0.9*$C$10</f>
        <v>389287.34787680494</v>
      </c>
      <c r="F31" s="5">
        <f t="shared" si="1"/>
        <v>6567.252400931444</v>
      </c>
      <c r="G31" s="5">
        <f t="shared" si="9"/>
        <v>82109.65332320082</v>
      </c>
      <c r="H31" s="5">
        <f t="shared" si="7"/>
        <v>49706.86033207043</v>
      </c>
      <c r="I31" s="5">
        <f t="shared" si="2"/>
        <v>10990.814248855308</v>
      </c>
      <c r="J31" s="5">
        <f t="shared" si="3"/>
        <v>50155.16637363007</v>
      </c>
      <c r="K31" s="5">
        <f t="shared" si="0"/>
        <v>107.69449274839346</v>
      </c>
      <c r="L31" s="5">
        <f t="shared" si="4"/>
        <v>2570.1501860076155</v>
      </c>
      <c r="M31" s="5">
        <f t="shared" si="5"/>
        <v>591494.9392342491</v>
      </c>
      <c r="N31" s="6">
        <v>7350</v>
      </c>
      <c r="O31" s="5">
        <f t="shared" si="6"/>
        <v>80.47550193663253</v>
      </c>
      <c r="P31" s="6" t="s">
        <v>3</v>
      </c>
    </row>
    <row r="32" spans="2:16" ht="1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</row>
    <row r="33" spans="2:16" ht="15">
      <c r="B33" s="31" t="s">
        <v>15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</row>
    <row r="34" spans="2:16" ht="15">
      <c r="B34" s="4" t="s">
        <v>16</v>
      </c>
      <c r="C34" s="23">
        <v>294900</v>
      </c>
      <c r="D34" s="5">
        <f>C34/C63</f>
        <v>0.025954907129003273</v>
      </c>
      <c r="E34" s="5">
        <f>D34*0.9*$C$10</f>
        <v>68901.54200576406</v>
      </c>
      <c r="F34" s="5">
        <f>$C$11*0.9*D34</f>
        <v>1162.3645608652826</v>
      </c>
      <c r="G34" s="5">
        <f>$C$12*0.9*D34</f>
        <v>14532.91959880913</v>
      </c>
      <c r="H34" s="5">
        <f>$C$13*0.9*D34</f>
        <v>8797.818228165603</v>
      </c>
      <c r="I34" s="5">
        <f>$C$14*0.9*D34</f>
        <v>1945.3086615204013</v>
      </c>
      <c r="J34" s="5">
        <f>$C$15*0.9*D34</f>
        <v>8877.165727441985</v>
      </c>
      <c r="K34" s="5">
        <f>$C$16*0.9*D34</f>
        <v>19.061283795540003</v>
      </c>
      <c r="L34" s="5">
        <f>$C$17*0.9*D34</f>
        <v>454.9012752871888</v>
      </c>
      <c r="M34" s="5">
        <f>E34+F34+G34+H34+I34+J34+K34+L34</f>
        <v>104691.08134164922</v>
      </c>
      <c r="N34" s="6">
        <v>1050</v>
      </c>
      <c r="O34" s="5">
        <f aca="true" t="shared" si="10" ref="O34:O65">M34/N34</f>
        <v>99.70579175395163</v>
      </c>
      <c r="P34" s="6" t="s">
        <v>92</v>
      </c>
    </row>
    <row r="35" spans="2:16" ht="15">
      <c r="B35" s="4" t="s">
        <v>17</v>
      </c>
      <c r="C35" s="23">
        <v>101661</v>
      </c>
      <c r="D35" s="5">
        <f>C35/C63</f>
        <v>0.008947445960127505</v>
      </c>
      <c r="E35" s="5">
        <f>D35*0.9*$C$10</f>
        <v>23752.45731382835</v>
      </c>
      <c r="F35" s="5">
        <f>$C$11*0.9*D35</f>
        <v>400.7024198783502</v>
      </c>
      <c r="G35" s="5">
        <f>$C$12*0.9*D35</f>
        <v>5009.939434840742</v>
      </c>
      <c r="H35" s="5">
        <f>$C$13*0.9*D35</f>
        <v>3032.8755472822763</v>
      </c>
      <c r="I35" s="5">
        <f>$C$14*0.9*D35</f>
        <v>670.6070662557663</v>
      </c>
      <c r="J35" s="5">
        <f>$C$15*0.9*D35</f>
        <v>3060.2290438029145</v>
      </c>
      <c r="K35" s="5">
        <f>$C$16*0.9*D35</f>
        <v>6.57100431311764</v>
      </c>
      <c r="L35" s="5">
        <f>$C$17*0.9*D35</f>
        <v>156.81830636477076</v>
      </c>
      <c r="M35" s="5">
        <f>E35+F35+G35+H35+I35+J35+K35+L35</f>
        <v>36090.200136566295</v>
      </c>
      <c r="N35" s="6">
        <v>600</v>
      </c>
      <c r="O35" s="5">
        <f t="shared" si="10"/>
        <v>60.15033356094382</v>
      </c>
      <c r="P35" s="6" t="s">
        <v>7</v>
      </c>
    </row>
    <row r="36" spans="2:16" ht="15">
      <c r="B36" s="4" t="s">
        <v>18</v>
      </c>
      <c r="C36" s="23">
        <v>109438.56</v>
      </c>
      <c r="D36" s="5">
        <f>C36/C63</f>
        <v>0.00963196901028095</v>
      </c>
      <c r="E36" s="5">
        <f>D36*0.9*$C$10</f>
        <v>25569.63560152706</v>
      </c>
      <c r="F36" s="5">
        <f>$C$11*0.9*D36</f>
        <v>431.3581001564221</v>
      </c>
      <c r="G36" s="5">
        <f>$C$12*0.9*D36</f>
        <v>5393.224121700404</v>
      </c>
      <c r="H36" s="5">
        <f>$C$13*0.9*D36</f>
        <v>3264.9052493462023</v>
      </c>
      <c r="I36" s="5">
        <f>$C$14*0.9*D36</f>
        <v>721.9117621984406</v>
      </c>
      <c r="J36" s="5">
        <f>$C$15*0.9*D36</f>
        <v>3294.351421134633</v>
      </c>
      <c r="K36" s="5">
        <f>$C$16*0.9*D36</f>
        <v>7.07371804115033</v>
      </c>
      <c r="L36" s="5">
        <f>$C$17*0.9*D36</f>
        <v>168.81566805559012</v>
      </c>
      <c r="M36" s="5">
        <f>E36+F36+G36+H36+I36+J36+K36+L36</f>
        <v>38851.27564215991</v>
      </c>
      <c r="N36" s="6">
        <v>650</v>
      </c>
      <c r="O36" s="5">
        <f t="shared" si="10"/>
        <v>59.77119329563063</v>
      </c>
      <c r="P36" s="6" t="s">
        <v>7</v>
      </c>
    </row>
    <row r="37" spans="2:16" ht="15">
      <c r="B37" s="4" t="s">
        <v>19</v>
      </c>
      <c r="C37" s="23">
        <v>97500</v>
      </c>
      <c r="D37" s="5">
        <f>C37/C63</f>
        <v>0.008581225653027531</v>
      </c>
      <c r="E37" s="5">
        <f>D37*0.9*$C$10</f>
        <v>22780.265668233285</v>
      </c>
      <c r="F37" s="5">
        <f>$C$11*0.9*D37</f>
        <v>384.30160964518495</v>
      </c>
      <c r="G37" s="5">
        <f>$C$12*0.9*D37</f>
        <v>4804.88186125429</v>
      </c>
      <c r="H37" s="5">
        <f>$C$13*0.9*D37</f>
        <v>2908.739495578658</v>
      </c>
      <c r="I37" s="5">
        <f>$C$14*0.9*D37</f>
        <v>643.1590183053208</v>
      </c>
      <c r="J37" s="5">
        <f>$C$15*0.9*D37</f>
        <v>2934.973409378072</v>
      </c>
      <c r="K37" s="5">
        <f>$C$16*0.9*D37</f>
        <v>6.3020521195834185</v>
      </c>
      <c r="L37" s="5">
        <f>$C$17*0.9*D37</f>
        <v>150.39970953035234</v>
      </c>
      <c r="M37" s="5">
        <f>E37+F37+G37+H37+I37+J37+K37+L37</f>
        <v>34613.02282404475</v>
      </c>
      <c r="N37" s="6">
        <v>570</v>
      </c>
      <c r="O37" s="5">
        <f t="shared" si="10"/>
        <v>60.724601445692535</v>
      </c>
      <c r="P37" s="6" t="s">
        <v>7</v>
      </c>
    </row>
    <row r="38" spans="2:16" ht="15">
      <c r="B38" s="31" t="s">
        <v>20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</row>
    <row r="39" spans="2:16" ht="15">
      <c r="B39" s="4" t="s">
        <v>22</v>
      </c>
      <c r="C39" s="24">
        <v>135837</v>
      </c>
      <c r="D39" s="5">
        <f>C39/C63</f>
        <v>0.011955363579797956</v>
      </c>
      <c r="E39" s="5">
        <f>D39*$C$10*0.9</f>
        <v>31737.466128982614</v>
      </c>
      <c r="F39" s="5">
        <f>$C$11*0.9*D39</f>
        <v>535.4090025576717</v>
      </c>
      <c r="G39" s="5">
        <f>$C$12*D39*0.9</f>
        <v>6694.161409099477</v>
      </c>
      <c r="H39" s="5">
        <f>$C$13*0.9*D39</f>
        <v>4052.455865240186</v>
      </c>
      <c r="I39" s="5">
        <f>$C$14*0.9*D39</f>
        <v>896.049144302973</v>
      </c>
      <c r="J39" s="5">
        <f>$C$15*0.9*D39</f>
        <v>4089.00495394553</v>
      </c>
      <c r="K39" s="5">
        <f aca="true" t="shared" si="11" ref="K39:K47">$C$16*0.9*D39</f>
        <v>8.780019013003619</v>
      </c>
      <c r="L39" s="5">
        <f>$C$17*0.9*D39</f>
        <v>209.53687531768688</v>
      </c>
      <c r="M39" s="5">
        <f>K39+E39+F39+G39+H39+I39+J39+L39</f>
        <v>48222.86339845914</v>
      </c>
      <c r="N39" s="6">
        <v>4500</v>
      </c>
      <c r="O39" s="5">
        <f t="shared" si="10"/>
        <v>10.716191866324253</v>
      </c>
      <c r="P39" s="6" t="s">
        <v>23</v>
      </c>
    </row>
    <row r="40" spans="2:16" ht="15">
      <c r="B40" s="4" t="s">
        <v>24</v>
      </c>
      <c r="C40" s="24">
        <v>84636.9</v>
      </c>
      <c r="D40" s="5">
        <f>C40/C63</f>
        <v>0.007449111153566419</v>
      </c>
      <c r="E40" s="5">
        <f>D40*$C$10*0.9</f>
        <v>19774.882741904552</v>
      </c>
      <c r="F40" s="5">
        <f aca="true" t="shared" si="12" ref="F40:F47">$C$11*0.9*D40</f>
        <v>333.6009939013185</v>
      </c>
      <c r="G40" s="5">
        <f aca="true" t="shared" si="13" ref="G40:G47">$C$12*D40*0.9</f>
        <v>4170.977493361983</v>
      </c>
      <c r="H40" s="5">
        <f aca="true" t="shared" si="14" ref="H40:H47">$C$13*0.9*D40</f>
        <v>2524.991731418885</v>
      </c>
      <c r="I40" s="5">
        <f aca="true" t="shared" si="15" ref="I40:I47">$C$14*0.9*D40</f>
        <v>558.3075437580062</v>
      </c>
      <c r="J40" s="5">
        <f aca="true" t="shared" si="16" ref="J40:J47">$C$15*0.9*D40</f>
        <v>2547.7646251506762</v>
      </c>
      <c r="K40" s="5">
        <f t="shared" si="11"/>
        <v>5.4706272311791775</v>
      </c>
      <c r="L40" s="5">
        <f aca="true" t="shared" si="17" ref="L40:L47">$C$17*0.9*D40</f>
        <v>130.55759154409722</v>
      </c>
      <c r="M40" s="5">
        <f aca="true" t="shared" si="18" ref="M40:M46">K40+E40+F40+G40+H40+I40+J40+L40</f>
        <v>30046.553348270696</v>
      </c>
      <c r="N40" s="6">
        <v>2900</v>
      </c>
      <c r="O40" s="5">
        <f t="shared" si="10"/>
        <v>10.36088046492093</v>
      </c>
      <c r="P40" s="6" t="s">
        <v>23</v>
      </c>
    </row>
    <row r="41" spans="2:16" ht="15">
      <c r="B41" s="4" t="s">
        <v>25</v>
      </c>
      <c r="C41" s="24">
        <v>132702.3</v>
      </c>
      <c r="D41" s="5">
        <f>C41/C63</f>
        <v>0.01167947057411031</v>
      </c>
      <c r="E41" s="5">
        <f aca="true" t="shared" si="19" ref="E41:E47">D41*$C$10*0.9</f>
        <v>31005.063064467628</v>
      </c>
      <c r="F41" s="5">
        <f t="shared" si="12"/>
        <v>523.0534101909561</v>
      </c>
      <c r="G41" s="5">
        <f t="shared" si="13"/>
        <v>6539.680761197182</v>
      </c>
      <c r="H41" s="5">
        <f t="shared" si="14"/>
        <v>3958.9376529654123</v>
      </c>
      <c r="I41" s="5">
        <f t="shared" si="15"/>
        <v>875.3710871267505</v>
      </c>
      <c r="J41" s="5">
        <f t="shared" si="16"/>
        <v>3994.643301162171</v>
      </c>
      <c r="K41" s="5">
        <f t="shared" si="11"/>
        <v>8.577403189626612</v>
      </c>
      <c r="L41" s="5">
        <f t="shared" si="17"/>
        <v>204.7014089642018</v>
      </c>
      <c r="M41" s="5">
        <f t="shared" si="18"/>
        <v>47110.02808926393</v>
      </c>
      <c r="N41" s="6">
        <v>4700</v>
      </c>
      <c r="O41" s="5">
        <f t="shared" si="10"/>
        <v>10.023410231758282</v>
      </c>
      <c r="P41" s="6" t="s">
        <v>23</v>
      </c>
    </row>
    <row r="42" spans="2:16" ht="15">
      <c r="B42" s="4" t="s">
        <v>26</v>
      </c>
      <c r="C42" s="24">
        <v>49386.36</v>
      </c>
      <c r="D42" s="5">
        <f>C42/C63</f>
        <v>0.004346620506068233</v>
      </c>
      <c r="E42" s="5">
        <f t="shared" si="19"/>
        <v>11538.814371148816</v>
      </c>
      <c r="F42" s="5">
        <f t="shared" si="12"/>
        <v>194.65905274375976</v>
      </c>
      <c r="G42" s="5">
        <f t="shared" si="13"/>
        <v>2433.801285716661</v>
      </c>
      <c r="H42" s="5">
        <f t="shared" si="14"/>
        <v>1473.354419229395</v>
      </c>
      <c r="I42" s="5">
        <f t="shared" si="15"/>
        <v>325.77725964382734</v>
      </c>
      <c r="J42" s="5">
        <f t="shared" si="16"/>
        <v>1486.6425988304907</v>
      </c>
      <c r="K42" s="5">
        <f t="shared" si="11"/>
        <v>3.19215809965651</v>
      </c>
      <c r="L42" s="5">
        <f t="shared" si="17"/>
        <v>76.1814789616555</v>
      </c>
      <c r="M42" s="5">
        <f t="shared" si="18"/>
        <v>17532.422624374263</v>
      </c>
      <c r="N42" s="6">
        <v>1800</v>
      </c>
      <c r="O42" s="5">
        <f t="shared" si="10"/>
        <v>9.740234791319034</v>
      </c>
      <c r="P42" s="6" t="s">
        <v>23</v>
      </c>
    </row>
    <row r="43" spans="2:16" ht="15">
      <c r="B43" s="28" t="s">
        <v>110</v>
      </c>
      <c r="C43" s="24">
        <v>98000</v>
      </c>
      <c r="D43" s="5">
        <f>C43/C63</f>
        <v>0.008625231938427673</v>
      </c>
      <c r="E43" s="5">
        <f t="shared" si="19"/>
        <v>22897.087543454996</v>
      </c>
      <c r="F43" s="5">
        <f t="shared" si="12"/>
        <v>386.2723871305449</v>
      </c>
      <c r="G43" s="5">
        <f t="shared" si="13"/>
        <v>4829.522281055595</v>
      </c>
      <c r="H43" s="5">
        <f t="shared" si="14"/>
        <v>2923.6561083764973</v>
      </c>
      <c r="I43" s="5">
        <f t="shared" si="15"/>
        <v>646.4572696812456</v>
      </c>
      <c r="J43" s="5">
        <f t="shared" si="16"/>
        <v>2950.0245550671907</v>
      </c>
      <c r="K43" s="5">
        <f t="shared" si="11"/>
        <v>6.334370335581283</v>
      </c>
      <c r="L43" s="5">
        <f t="shared" si="17"/>
        <v>151.17099009204648</v>
      </c>
      <c r="M43" s="5">
        <f t="shared" si="18"/>
        <v>34790.5255051937</v>
      </c>
      <c r="N43" s="6">
        <v>870</v>
      </c>
      <c r="O43" s="5">
        <f>M43/N43</f>
        <v>39.98910977608471</v>
      </c>
      <c r="P43" s="6" t="s">
        <v>10</v>
      </c>
    </row>
    <row r="44" spans="2:16" ht="15">
      <c r="B44" s="29" t="s">
        <v>27</v>
      </c>
      <c r="C44" s="24">
        <v>109000</v>
      </c>
      <c r="D44" s="5">
        <f>C44/C63</f>
        <v>0.009593370217230779</v>
      </c>
      <c r="E44" s="5">
        <f t="shared" si="19"/>
        <v>25467.1687983326</v>
      </c>
      <c r="F44" s="5">
        <f t="shared" si="12"/>
        <v>429.62949180846323</v>
      </c>
      <c r="G44" s="5">
        <f t="shared" si="13"/>
        <v>5371.611516684284</v>
      </c>
      <c r="H44" s="5">
        <f t="shared" si="14"/>
        <v>3251.821589928961</v>
      </c>
      <c r="I44" s="5">
        <f t="shared" si="15"/>
        <v>719.0187999515895</v>
      </c>
      <c r="J44" s="5">
        <f t="shared" si="16"/>
        <v>3281.1497602277936</v>
      </c>
      <c r="K44" s="5">
        <f t="shared" si="11"/>
        <v>7.045371087534284</v>
      </c>
      <c r="L44" s="5">
        <f t="shared" si="17"/>
        <v>168.13916244931698</v>
      </c>
      <c r="M44" s="5">
        <f t="shared" si="18"/>
        <v>38695.58449047055</v>
      </c>
      <c r="N44" s="6">
        <v>650</v>
      </c>
      <c r="O44" s="5">
        <f t="shared" si="10"/>
        <v>59.531668446877774</v>
      </c>
      <c r="P44" s="6" t="s">
        <v>7</v>
      </c>
    </row>
    <row r="45" spans="2:16" ht="15">
      <c r="B45" s="28" t="s">
        <v>111</v>
      </c>
      <c r="C45" s="24">
        <v>82500</v>
      </c>
      <c r="D45" s="5">
        <f>C45/C63</f>
        <v>0.007261037091023295</v>
      </c>
      <c r="E45" s="5">
        <f t="shared" si="19"/>
        <v>19275.609411582012</v>
      </c>
      <c r="F45" s="5">
        <f t="shared" si="12"/>
        <v>325.17828508438726</v>
      </c>
      <c r="G45" s="5">
        <f t="shared" si="13"/>
        <v>4065.669267215169</v>
      </c>
      <c r="H45" s="5">
        <f t="shared" si="14"/>
        <v>2461.2411116434796</v>
      </c>
      <c r="I45" s="5">
        <f t="shared" si="15"/>
        <v>544.2114770275792</v>
      </c>
      <c r="J45" s="5">
        <f t="shared" si="16"/>
        <v>2483.4390387045223</v>
      </c>
      <c r="K45" s="5">
        <f t="shared" si="11"/>
        <v>5.332505639647508</v>
      </c>
      <c r="L45" s="5">
        <f t="shared" si="17"/>
        <v>127.2612926795289</v>
      </c>
      <c r="M45" s="5">
        <f t="shared" si="18"/>
        <v>29287.94238957633</v>
      </c>
      <c r="N45" s="6">
        <v>720</v>
      </c>
      <c r="O45" s="5">
        <f t="shared" si="10"/>
        <v>40.67769776330046</v>
      </c>
      <c r="P45" s="6" t="s">
        <v>10</v>
      </c>
    </row>
    <row r="46" spans="2:16" ht="15">
      <c r="B46" s="4" t="s">
        <v>29</v>
      </c>
      <c r="C46" s="24">
        <v>271000</v>
      </c>
      <c r="D46" s="5">
        <f>C46/C63</f>
        <v>0.023851406686876523</v>
      </c>
      <c r="E46" s="5">
        <f t="shared" si="19"/>
        <v>63317.456370166365</v>
      </c>
      <c r="F46" s="5">
        <f t="shared" si="12"/>
        <v>1068.1613970650783</v>
      </c>
      <c r="G46" s="5">
        <f t="shared" si="13"/>
        <v>13355.107532306796</v>
      </c>
      <c r="H46" s="5">
        <f t="shared" si="14"/>
        <v>8084.804136428886</v>
      </c>
      <c r="I46" s="5">
        <f t="shared" si="15"/>
        <v>1787.6522457511996</v>
      </c>
      <c r="J46" s="5">
        <f t="shared" si="16"/>
        <v>8157.720963502128</v>
      </c>
      <c r="K46" s="5">
        <f t="shared" si="11"/>
        <v>17.516473070842117</v>
      </c>
      <c r="L46" s="5">
        <f t="shared" si="17"/>
        <v>418.0340644382101</v>
      </c>
      <c r="M46" s="5">
        <f t="shared" si="18"/>
        <v>96206.4531827295</v>
      </c>
      <c r="N46" s="6">
        <v>2400</v>
      </c>
      <c r="O46" s="5">
        <f t="shared" si="10"/>
        <v>40.08602215947062</v>
      </c>
      <c r="P46" s="6" t="s">
        <v>10</v>
      </c>
    </row>
    <row r="47" spans="2:16" ht="15">
      <c r="B47" s="4" t="s">
        <v>31</v>
      </c>
      <c r="C47" s="24">
        <v>120000</v>
      </c>
      <c r="D47" s="5">
        <f>C47/C63</f>
        <v>0.010561508496033885</v>
      </c>
      <c r="E47" s="5">
        <f t="shared" si="19"/>
        <v>28037.250053210202</v>
      </c>
      <c r="F47" s="5">
        <f t="shared" si="12"/>
        <v>472.9865964863815</v>
      </c>
      <c r="G47" s="5">
        <f t="shared" si="13"/>
        <v>5913.700752312973</v>
      </c>
      <c r="H47" s="5">
        <f t="shared" si="14"/>
        <v>3579.987071481425</v>
      </c>
      <c r="I47" s="5">
        <f t="shared" si="15"/>
        <v>791.5803302219334</v>
      </c>
      <c r="J47" s="5">
        <f t="shared" si="16"/>
        <v>3612.2749653883966</v>
      </c>
      <c r="K47" s="5">
        <f t="shared" si="11"/>
        <v>7.756371839487285</v>
      </c>
      <c r="L47" s="5">
        <f t="shared" si="17"/>
        <v>185.10733480658752</v>
      </c>
      <c r="M47" s="5">
        <f>K47+E47+F47+G47+H47+I47+J47+L47</f>
        <v>42600.64347574739</v>
      </c>
      <c r="N47" s="6">
        <v>1430</v>
      </c>
      <c r="O47" s="5">
        <f t="shared" si="10"/>
        <v>29.790659773249924</v>
      </c>
      <c r="P47" s="6" t="s">
        <v>97</v>
      </c>
    </row>
    <row r="48" spans="2:16" ht="15">
      <c r="B48" s="31" t="s">
        <v>32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3"/>
    </row>
    <row r="49" spans="2:16" ht="15">
      <c r="B49" s="4" t="s">
        <v>33</v>
      </c>
      <c r="C49" s="23">
        <f>10384*7</f>
        <v>72688</v>
      </c>
      <c r="D49" s="5">
        <f>C49/C63</f>
        <v>0.006397457746330925</v>
      </c>
      <c r="E49" s="5">
        <f>$C$10*0.9*D49</f>
        <v>16983.09693223119</v>
      </c>
      <c r="F49" s="5">
        <f>$C$11*0.9*D49</f>
        <v>286.5037477116841</v>
      </c>
      <c r="G49" s="5">
        <f>$C$12*0.9*D49</f>
        <v>3582.125669034378</v>
      </c>
      <c r="H49" s="5">
        <f>$C$13*0.9*D49</f>
        <v>2168.5175020986817</v>
      </c>
      <c r="I49" s="5">
        <f>$C$14*0.9*D49</f>
        <v>479.48659202643245</v>
      </c>
      <c r="J49" s="5">
        <f>$C$15*0.9*D49</f>
        <v>2188.0753557012645</v>
      </c>
      <c r="K49" s="5">
        <f aca="true" t="shared" si="20" ref="K49:K59">$C$16*0.9*D49</f>
        <v>4.698292968905431</v>
      </c>
      <c r="L49" s="5">
        <f>$C$17*0.9*D49</f>
        <v>112.1256829368436</v>
      </c>
      <c r="M49" s="5">
        <f>E49+F49+G49+H49+I49+J49+K49+L49</f>
        <v>25804.629774709378</v>
      </c>
      <c r="N49" s="6">
        <v>500</v>
      </c>
      <c r="O49" s="5">
        <f t="shared" si="10"/>
        <v>51.60925954941875</v>
      </c>
      <c r="P49" s="6" t="s">
        <v>28</v>
      </c>
    </row>
    <row r="50" spans="2:16" ht="15">
      <c r="B50" s="4" t="s">
        <v>34</v>
      </c>
      <c r="C50" s="23">
        <v>250000</v>
      </c>
      <c r="D50" s="5">
        <f>C50/C63</f>
        <v>0.02200314270007059</v>
      </c>
      <c r="E50" s="5">
        <f aca="true" t="shared" si="21" ref="E50:E59">$C$10*0.9*D50</f>
        <v>58410.93761085458</v>
      </c>
      <c r="F50" s="5">
        <f aca="true" t="shared" si="22" ref="F50:F59">$C$11*0.9*D50</f>
        <v>985.3887426799614</v>
      </c>
      <c r="G50" s="5">
        <f>$C$12*0.9*D50</f>
        <v>12320.209900652026</v>
      </c>
      <c r="H50" s="5">
        <f aca="true" t="shared" si="23" ref="H50:H59">$C$13*0.9*D50</f>
        <v>7458.306398919635</v>
      </c>
      <c r="I50" s="5">
        <f aca="true" t="shared" si="24" ref="I50:I59">$C$14*0.9*D50</f>
        <v>1649.125687962361</v>
      </c>
      <c r="J50" s="5">
        <f aca="true" t="shared" si="25" ref="J50:J59">$C$15*0.9*D50</f>
        <v>7525.5728445591585</v>
      </c>
      <c r="K50" s="5">
        <f t="shared" si="20"/>
        <v>16.15910799893184</v>
      </c>
      <c r="L50" s="5">
        <f aca="true" t="shared" si="26" ref="L50:L59">$C$17*0.9*D50</f>
        <v>385.6402808470573</v>
      </c>
      <c r="M50" s="5">
        <f aca="true" t="shared" si="27" ref="M50:M59">E50+F50+G50+H50+I50+J50+K50+L50</f>
        <v>88751.3405744737</v>
      </c>
      <c r="N50" s="6">
        <v>2200</v>
      </c>
      <c r="O50" s="5">
        <f t="shared" si="10"/>
        <v>40.341518442942586</v>
      </c>
      <c r="P50" s="6" t="s">
        <v>10</v>
      </c>
    </row>
    <row r="51" spans="2:16" ht="15">
      <c r="B51" s="4" t="s">
        <v>35</v>
      </c>
      <c r="C51" s="23">
        <v>53333</v>
      </c>
      <c r="D51" s="5">
        <f>C51/C63</f>
        <v>0.004693974438491459</v>
      </c>
      <c r="E51" s="5">
        <f t="shared" si="21"/>
        <v>12460.922142398827</v>
      </c>
      <c r="F51" s="5">
        <f t="shared" si="22"/>
        <v>210.21495125340152</v>
      </c>
      <c r="G51" s="5">
        <f aca="true" t="shared" si="28" ref="G51:G59">$C$12*0.9*D51</f>
        <v>2628.295018525898</v>
      </c>
      <c r="H51" s="5">
        <f t="shared" si="23"/>
        <v>1591.0954206943236</v>
      </c>
      <c r="I51" s="5">
        <f t="shared" si="24"/>
        <v>351.8112812643864</v>
      </c>
      <c r="J51" s="5">
        <f t="shared" si="25"/>
        <v>1605.4455060754944</v>
      </c>
      <c r="K51" s="5">
        <f t="shared" si="20"/>
        <v>3.447254827628128</v>
      </c>
      <c r="L51" s="5">
        <f t="shared" si="26"/>
        <v>82.26941239366442</v>
      </c>
      <c r="M51" s="5">
        <f t="shared" si="27"/>
        <v>18933.50098743362</v>
      </c>
      <c r="N51" s="6">
        <v>600</v>
      </c>
      <c r="O51" s="5">
        <f t="shared" si="10"/>
        <v>31.555834979056034</v>
      </c>
      <c r="P51" s="6" t="s">
        <v>97</v>
      </c>
    </row>
    <row r="52" spans="2:16" ht="15">
      <c r="B52" s="4" t="s">
        <v>36</v>
      </c>
      <c r="C52" s="23">
        <v>53333</v>
      </c>
      <c r="D52" s="5">
        <f>C52/C63</f>
        <v>0.004693974438491459</v>
      </c>
      <c r="E52" s="5">
        <f t="shared" si="21"/>
        <v>12460.922142398827</v>
      </c>
      <c r="F52" s="5">
        <f t="shared" si="22"/>
        <v>210.21495125340152</v>
      </c>
      <c r="G52" s="5">
        <f t="shared" si="28"/>
        <v>2628.295018525898</v>
      </c>
      <c r="H52" s="5">
        <f t="shared" si="23"/>
        <v>1591.0954206943236</v>
      </c>
      <c r="I52" s="5">
        <f t="shared" si="24"/>
        <v>351.8112812643864</v>
      </c>
      <c r="J52" s="5">
        <f t="shared" si="25"/>
        <v>1605.4455060754944</v>
      </c>
      <c r="K52" s="5">
        <f t="shared" si="20"/>
        <v>3.447254827628128</v>
      </c>
      <c r="L52" s="5">
        <f t="shared" si="26"/>
        <v>82.26941239366442</v>
      </c>
      <c r="M52" s="5">
        <f t="shared" si="27"/>
        <v>18933.50098743362</v>
      </c>
      <c r="N52" s="6">
        <v>600</v>
      </c>
      <c r="O52" s="5">
        <f t="shared" si="10"/>
        <v>31.555834979056034</v>
      </c>
      <c r="P52" s="6" t="s">
        <v>97</v>
      </c>
    </row>
    <row r="53" spans="2:16" ht="15">
      <c r="B53" s="4" t="s">
        <v>37</v>
      </c>
      <c r="C53" s="23">
        <v>53334</v>
      </c>
      <c r="D53" s="5">
        <f>C53/C63</f>
        <v>0.00469406245106226</v>
      </c>
      <c r="E53" s="5">
        <f t="shared" si="21"/>
        <v>12461.155786149273</v>
      </c>
      <c r="F53" s="5">
        <f t="shared" si="22"/>
        <v>210.21889280837226</v>
      </c>
      <c r="G53" s="5">
        <f t="shared" si="28"/>
        <v>2628.344299365501</v>
      </c>
      <c r="H53" s="5">
        <f t="shared" si="23"/>
        <v>1591.1252539199195</v>
      </c>
      <c r="I53" s="5">
        <f t="shared" si="24"/>
        <v>351.8178777671383</v>
      </c>
      <c r="J53" s="5">
        <f t="shared" si="25"/>
        <v>1605.4756083668728</v>
      </c>
      <c r="K53" s="5">
        <f t="shared" si="20"/>
        <v>3.447319464060124</v>
      </c>
      <c r="L53" s="5">
        <f t="shared" si="26"/>
        <v>82.27095495478783</v>
      </c>
      <c r="M53" s="5">
        <f t="shared" si="27"/>
        <v>18933.85599279592</v>
      </c>
      <c r="N53" s="6">
        <v>600</v>
      </c>
      <c r="O53" s="5">
        <f t="shared" si="10"/>
        <v>31.55642665465987</v>
      </c>
      <c r="P53" s="6" t="s">
        <v>97</v>
      </c>
    </row>
    <row r="54" spans="2:16" ht="15">
      <c r="B54" s="4" t="s">
        <v>38</v>
      </c>
      <c r="C54" s="23">
        <v>62000</v>
      </c>
      <c r="D54" s="5">
        <f>C54/C63</f>
        <v>0.005456779389617507</v>
      </c>
      <c r="E54" s="5">
        <f t="shared" si="21"/>
        <v>14485.912527491935</v>
      </c>
      <c r="F54" s="5">
        <f t="shared" si="22"/>
        <v>244.37640818463044</v>
      </c>
      <c r="G54" s="5">
        <f t="shared" si="28"/>
        <v>3055.4120553617026</v>
      </c>
      <c r="H54" s="5">
        <f t="shared" si="23"/>
        <v>1849.6599869320696</v>
      </c>
      <c r="I54" s="5">
        <f t="shared" si="24"/>
        <v>408.98317061466554</v>
      </c>
      <c r="J54" s="5">
        <f t="shared" si="25"/>
        <v>1866.3420654506713</v>
      </c>
      <c r="K54" s="5">
        <f t="shared" si="20"/>
        <v>4.007458783735097</v>
      </c>
      <c r="L54" s="5">
        <f t="shared" si="26"/>
        <v>95.63878965007021</v>
      </c>
      <c r="M54" s="5">
        <f t="shared" si="27"/>
        <v>22010.33246246948</v>
      </c>
      <c r="N54" s="6">
        <v>700</v>
      </c>
      <c r="O54" s="5">
        <f t="shared" si="10"/>
        <v>31.443332089242112</v>
      </c>
      <c r="P54" s="6" t="s">
        <v>97</v>
      </c>
    </row>
    <row r="55" spans="2:16" ht="15">
      <c r="B55" s="4" t="s">
        <v>39</v>
      </c>
      <c r="C55" s="23">
        <v>69453.72</v>
      </c>
      <c r="D55" s="5">
        <f>C55/C63</f>
        <v>0.006112800448842988</v>
      </c>
      <c r="E55" s="5">
        <f t="shared" si="21"/>
        <v>16227.427623047051</v>
      </c>
      <c r="F55" s="5">
        <f t="shared" si="22"/>
        <v>273.75565530098436</v>
      </c>
      <c r="G55" s="5">
        <f t="shared" si="28"/>
        <v>3422.7376351244548</v>
      </c>
      <c r="H55" s="5">
        <f t="shared" si="23"/>
        <v>2072.0284972190907</v>
      </c>
      <c r="I55" s="5">
        <f t="shared" si="24"/>
        <v>458.15165510618084</v>
      </c>
      <c r="J55" s="5">
        <f t="shared" si="25"/>
        <v>2090.7161167424615</v>
      </c>
      <c r="K55" s="5">
        <f t="shared" si="20"/>
        <v>4.48924064963029</v>
      </c>
      <c r="L55" s="5">
        <f t="shared" si="26"/>
        <v>107.13660834669152</v>
      </c>
      <c r="M55" s="5">
        <f t="shared" si="27"/>
        <v>24656.44303153654</v>
      </c>
      <c r="N55" s="6">
        <v>800</v>
      </c>
      <c r="O55" s="5">
        <f t="shared" si="10"/>
        <v>30.820553789420675</v>
      </c>
      <c r="P55" s="6" t="s">
        <v>97</v>
      </c>
    </row>
    <row r="56" spans="2:16" ht="15">
      <c r="B56" s="4" t="s">
        <v>40</v>
      </c>
      <c r="C56" s="23">
        <v>69453.72</v>
      </c>
      <c r="D56" s="5">
        <f>C56/C63</f>
        <v>0.006112800448842988</v>
      </c>
      <c r="E56" s="5">
        <f t="shared" si="21"/>
        <v>16227.427623047051</v>
      </c>
      <c r="F56" s="5">
        <f t="shared" si="22"/>
        <v>273.75565530098436</v>
      </c>
      <c r="G56" s="5">
        <f t="shared" si="28"/>
        <v>3422.7376351244548</v>
      </c>
      <c r="H56" s="5">
        <f t="shared" si="23"/>
        <v>2072.0284972190907</v>
      </c>
      <c r="I56" s="5">
        <f t="shared" si="24"/>
        <v>458.15165510618084</v>
      </c>
      <c r="J56" s="5">
        <f t="shared" si="25"/>
        <v>2090.7161167424615</v>
      </c>
      <c r="K56" s="5">
        <f t="shared" si="20"/>
        <v>4.48924064963029</v>
      </c>
      <c r="L56" s="5">
        <f t="shared" si="26"/>
        <v>107.13660834669152</v>
      </c>
      <c r="M56" s="5">
        <f t="shared" si="27"/>
        <v>24656.44303153654</v>
      </c>
      <c r="N56" s="6">
        <v>800</v>
      </c>
      <c r="O56" s="5">
        <f t="shared" si="10"/>
        <v>30.820553789420675</v>
      </c>
      <c r="P56" s="6" t="s">
        <v>97</v>
      </c>
    </row>
    <row r="57" spans="2:16" ht="15">
      <c r="B57" s="4" t="s">
        <v>41</v>
      </c>
      <c r="C57" s="23">
        <v>80147</v>
      </c>
      <c r="D57" s="5">
        <f>C57/C63</f>
        <v>0.007053943511930231</v>
      </c>
      <c r="E57" s="5">
        <f t="shared" si="21"/>
        <v>18725.845666788646</v>
      </c>
      <c r="F57" s="5">
        <f t="shared" si="22"/>
        <v>315.90380623828344</v>
      </c>
      <c r="G57" s="5">
        <f t="shared" si="28"/>
        <v>3949.7114516302317</v>
      </c>
      <c r="H57" s="5">
        <f t="shared" si="23"/>
        <v>2391.043531816848</v>
      </c>
      <c r="I57" s="5">
        <f t="shared" si="24"/>
        <v>528.6899060524775</v>
      </c>
      <c r="J57" s="5">
        <f t="shared" si="25"/>
        <v>2412.6083470915314</v>
      </c>
      <c r="K57" s="5">
        <f t="shared" si="20"/>
        <v>5.180416115161561</v>
      </c>
      <c r="L57" s="5">
        <f t="shared" si="26"/>
        <v>123.6316463561964</v>
      </c>
      <c r="M57" s="5">
        <f t="shared" si="27"/>
        <v>28452.61477208938</v>
      </c>
      <c r="N57" s="6">
        <v>950</v>
      </c>
      <c r="O57" s="5">
        <f t="shared" si="10"/>
        <v>29.95012081272566</v>
      </c>
      <c r="P57" s="6" t="s">
        <v>97</v>
      </c>
    </row>
    <row r="58" spans="2:16" ht="15">
      <c r="B58" s="4" t="s">
        <v>42</v>
      </c>
      <c r="C58" s="23">
        <v>80147</v>
      </c>
      <c r="D58" s="5">
        <f>C58/C63</f>
        <v>0.007053943511930231</v>
      </c>
      <c r="E58" s="5">
        <f t="shared" si="21"/>
        <v>18725.845666788646</v>
      </c>
      <c r="F58" s="5">
        <f t="shared" si="22"/>
        <v>315.90380623828344</v>
      </c>
      <c r="G58" s="5">
        <f t="shared" si="28"/>
        <v>3949.7114516302317</v>
      </c>
      <c r="H58" s="5">
        <f t="shared" si="23"/>
        <v>2391.043531816848</v>
      </c>
      <c r="I58" s="5">
        <f t="shared" si="24"/>
        <v>528.6899060524775</v>
      </c>
      <c r="J58" s="5">
        <f t="shared" si="25"/>
        <v>2412.6083470915314</v>
      </c>
      <c r="K58" s="5">
        <f t="shared" si="20"/>
        <v>5.180416115161561</v>
      </c>
      <c r="L58" s="5">
        <f t="shared" si="26"/>
        <v>123.6316463561964</v>
      </c>
      <c r="M58" s="5">
        <f t="shared" si="27"/>
        <v>28452.61477208938</v>
      </c>
      <c r="N58" s="6">
        <v>950</v>
      </c>
      <c r="O58" s="5">
        <f t="shared" si="10"/>
        <v>29.95012081272566</v>
      </c>
      <c r="P58" s="6" t="s">
        <v>97</v>
      </c>
    </row>
    <row r="59" spans="2:16" ht="15">
      <c r="B59" s="4" t="s">
        <v>43</v>
      </c>
      <c r="C59" s="23">
        <v>80147</v>
      </c>
      <c r="D59" s="5">
        <f>C59/C63</f>
        <v>0.007053943511930231</v>
      </c>
      <c r="E59" s="5">
        <f t="shared" si="21"/>
        <v>18725.845666788646</v>
      </c>
      <c r="F59" s="5">
        <f t="shared" si="22"/>
        <v>315.90380623828344</v>
      </c>
      <c r="G59" s="5">
        <f t="shared" si="28"/>
        <v>3949.7114516302317</v>
      </c>
      <c r="H59" s="5">
        <f t="shared" si="23"/>
        <v>2391.043531816848</v>
      </c>
      <c r="I59" s="5">
        <f t="shared" si="24"/>
        <v>528.6899060524775</v>
      </c>
      <c r="J59" s="5">
        <f t="shared" si="25"/>
        <v>2412.6083470915314</v>
      </c>
      <c r="K59" s="5">
        <f t="shared" si="20"/>
        <v>5.180416115161561</v>
      </c>
      <c r="L59" s="5">
        <f t="shared" si="26"/>
        <v>123.6316463561964</v>
      </c>
      <c r="M59" s="5">
        <f t="shared" si="27"/>
        <v>28452.61477208938</v>
      </c>
      <c r="N59" s="6">
        <v>950</v>
      </c>
      <c r="O59" s="5">
        <f t="shared" si="10"/>
        <v>29.95012081272566</v>
      </c>
      <c r="P59" s="6" t="s">
        <v>97</v>
      </c>
    </row>
    <row r="60" spans="2:16" ht="15">
      <c r="B60" s="31" t="s">
        <v>44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3"/>
    </row>
    <row r="61" spans="2:16" ht="15">
      <c r="B61" s="4" t="s">
        <v>45</v>
      </c>
      <c r="C61" s="23">
        <v>436967.66</v>
      </c>
      <c r="D61" s="5">
        <f>C61/C63</f>
        <v>0.03845864711318371</v>
      </c>
      <c r="E61" s="5">
        <f>C10*0.9*D61</f>
        <v>102094.76290488445</v>
      </c>
      <c r="F61" s="5">
        <f>C11*0.9*D61</f>
        <v>1722.3320523168193</v>
      </c>
      <c r="G61" s="5">
        <f>C12*0.9*D61</f>
        <v>21534.133163986993</v>
      </c>
      <c r="H61" s="5">
        <f>C13*0.9*D61</f>
        <v>13036.154778795757</v>
      </c>
      <c r="I61" s="5">
        <f>C14*0.9*D61</f>
        <v>2882.4583716592124</v>
      </c>
      <c r="J61" s="5">
        <f>C15*0.9*D61</f>
        <v>13153.727824186237</v>
      </c>
      <c r="K61" s="5">
        <f>C16*0.9*D61</f>
        <v>28.244030439922117</v>
      </c>
      <c r="L61" s="5">
        <f>C17*0.9*D61</f>
        <v>674.0493244939257</v>
      </c>
      <c r="M61" s="5">
        <f>E61+F61+G61+H61+I61+J61+K61+L61</f>
        <v>155125.86245076332</v>
      </c>
      <c r="N61" s="6">
        <v>2550</v>
      </c>
      <c r="O61" s="5">
        <f t="shared" si="10"/>
        <v>60.83367154931895</v>
      </c>
      <c r="P61" s="6" t="s">
        <v>7</v>
      </c>
    </row>
    <row r="62" spans="2:16" ht="15">
      <c r="B62" s="4"/>
      <c r="C62" s="4"/>
      <c r="D62" s="4"/>
      <c r="E62" s="5"/>
      <c r="F62" s="5"/>
      <c r="G62" s="4"/>
      <c r="H62" s="4"/>
      <c r="I62" s="4"/>
      <c r="J62" s="4"/>
      <c r="K62" s="4"/>
      <c r="L62" s="4"/>
      <c r="M62" s="5"/>
      <c r="N62" s="4"/>
      <c r="O62" s="5"/>
      <c r="P62" s="6"/>
    </row>
    <row r="63" spans="2:16" ht="15">
      <c r="B63" s="7" t="s">
        <v>52</v>
      </c>
      <c r="C63" s="25">
        <f>SUM(C22:C61)</f>
        <v>11362013.3</v>
      </c>
      <c r="D63" s="8">
        <f>SUM(D22:D61)</f>
        <v>1.0000000000000004</v>
      </c>
      <c r="E63" s="9">
        <f>SUM(E22:E61)</f>
        <v>2654663.3999999985</v>
      </c>
      <c r="F63" s="9">
        <f>SUM(F22:F61)</f>
        <v>44783.999999999985</v>
      </c>
      <c r="G63" s="8">
        <f>SUM(G22:G61)</f>
        <v>559929.5549999999</v>
      </c>
      <c r="H63" s="8">
        <f>SUM(H22:H31,H34:H37,H39:H47,H49:H59,H61)</f>
        <v>338965.506</v>
      </c>
      <c r="I63" s="8">
        <f>SUM(I22:I31,I34:I37,I39:I47,I49:I59,I61)</f>
        <v>74949.55199999997</v>
      </c>
      <c r="J63" s="8">
        <f>SUM(J22:J31,J34:J37,J39:J47,J49:J59,J61)</f>
        <v>342022.635</v>
      </c>
      <c r="K63" s="8">
        <f>SUM(K22:K61)</f>
        <v>734.3999999999997</v>
      </c>
      <c r="L63" s="8">
        <f>SUM(L22:L61)</f>
        <v>17526.599999999995</v>
      </c>
      <c r="M63" s="9">
        <f>SUM(M22:M62)</f>
        <v>4033575.647999999</v>
      </c>
      <c r="N63" s="5"/>
      <c r="O63" s="5"/>
      <c r="P63" s="6"/>
    </row>
    <row r="64" spans="2:16" ht="15">
      <c r="B64" s="7"/>
      <c r="C64" s="7"/>
      <c r="D64" s="8"/>
      <c r="E64" s="9"/>
      <c r="F64" s="9"/>
      <c r="G64" s="8"/>
      <c r="H64" s="8"/>
      <c r="I64" s="8"/>
      <c r="J64" s="8"/>
      <c r="K64" s="8"/>
      <c r="L64" s="8"/>
      <c r="M64" s="9"/>
      <c r="N64" s="5"/>
      <c r="O64" s="5"/>
      <c r="P64" s="6"/>
    </row>
    <row r="65" spans="2:16" ht="15">
      <c r="B65" s="10" t="s">
        <v>64</v>
      </c>
      <c r="C65" s="6" t="s">
        <v>62</v>
      </c>
      <c r="D65" s="6" t="s">
        <v>63</v>
      </c>
      <c r="E65" s="6">
        <f>C10*0.09</f>
        <v>265466.33999999997</v>
      </c>
      <c r="F65" s="6">
        <f>C11*0.09</f>
        <v>4478.4</v>
      </c>
      <c r="G65" s="6">
        <f>C12*0.09</f>
        <v>55992.955500000004</v>
      </c>
      <c r="H65" s="6">
        <f>C13*0.09</f>
        <v>33896.5506</v>
      </c>
      <c r="I65" s="6">
        <f>C14*0.09</f>
        <v>7494.955199999999</v>
      </c>
      <c r="J65" s="6">
        <f>C15*0.09</f>
        <v>34202.2635</v>
      </c>
      <c r="K65" s="6">
        <f>C16*0.09</f>
        <v>73.44</v>
      </c>
      <c r="L65" s="6">
        <f>C17*0.09</f>
        <v>1752.6599999999999</v>
      </c>
      <c r="M65" s="6">
        <f>E65+G65+H65+I65+J65+F65+K65+L65</f>
        <v>403357.5648</v>
      </c>
      <c r="N65" s="6">
        <v>2000</v>
      </c>
      <c r="O65" s="5">
        <f t="shared" si="10"/>
        <v>201.6787824</v>
      </c>
      <c r="P65" s="6" t="s">
        <v>91</v>
      </c>
    </row>
    <row r="66" spans="2:16" ht="1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2:16" ht="15">
      <c r="B67" s="12" t="s">
        <v>73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2:16" ht="15">
      <c r="B68" s="10" t="s">
        <v>67</v>
      </c>
      <c r="C68" s="23">
        <v>4215.35</v>
      </c>
      <c r="D68" s="5">
        <f>C68/$C$99</f>
        <v>0.07348452281212987</v>
      </c>
      <c r="E68" s="5">
        <f>$C$10*0.01*D68</f>
        <v>2167.518590842514</v>
      </c>
      <c r="F68" s="5">
        <f>$C$11*0.01*D68</f>
        <v>36.565898551315826</v>
      </c>
      <c r="G68" s="5">
        <f>$C$12*0.01*D68</f>
        <v>457.1795128620359</v>
      </c>
      <c r="H68" s="5">
        <f>$C$13*0.01*D68</f>
        <v>276.76353842424606</v>
      </c>
      <c r="I68" s="5">
        <f>$C$14*0.01*D68</f>
        <v>61.19591181892127</v>
      </c>
      <c r="J68" s="5">
        <f>$C$15*0.01*D68</f>
        <v>279.2596680435808</v>
      </c>
      <c r="K68" s="5">
        <f aca="true" t="shared" si="29" ref="K68:K97">$C$16*0.01*D68</f>
        <v>0.5996337061469798</v>
      </c>
      <c r="L68" s="5">
        <f>$C$17*0.01*D68</f>
        <v>14.310375972434173</v>
      </c>
      <c r="M68" s="5">
        <f>SUM(E68:L68)</f>
        <v>3293.3931302211954</v>
      </c>
      <c r="N68" s="18">
        <v>22</v>
      </c>
      <c r="O68" s="5">
        <f>M68/N68</f>
        <v>149.69968773732705</v>
      </c>
      <c r="P68" s="6" t="s">
        <v>65</v>
      </c>
    </row>
    <row r="69" spans="2:16" ht="15">
      <c r="B69" s="10" t="s">
        <v>66</v>
      </c>
      <c r="C69" s="23">
        <v>6800</v>
      </c>
      <c r="D69" s="5">
        <f>C69/$C$99</f>
        <v>0.11854170000651977</v>
      </c>
      <c r="E69" s="5">
        <f aca="true" t="shared" si="30" ref="E69:E97">$C$10*0.01*D69</f>
        <v>3496.536804234309</v>
      </c>
      <c r="F69" s="5">
        <f aca="true" t="shared" si="31" ref="F69:F97">$C$11*0.01*D69</f>
        <v>58.98634992324424</v>
      </c>
      <c r="G69" s="5">
        <f>$C$12*0.01*D69</f>
        <v>737.5000148177124</v>
      </c>
      <c r="H69" s="5">
        <f aca="true" t="shared" si="32" ref="H69:H97">$C$13*0.01*D69</f>
        <v>446.46163694233536</v>
      </c>
      <c r="I69" s="5">
        <f aca="true" t="shared" si="33" ref="I69:I97">$C$14*0.01*D69</f>
        <v>98.71830343118948</v>
      </c>
      <c r="J69" s="5">
        <f aca="true" t="shared" si="34" ref="J69:J97">$C$15*0.01*D69</f>
        <v>450.4882732623268</v>
      </c>
      <c r="K69" s="5">
        <f t="shared" si="29"/>
        <v>0.9673002720532013</v>
      </c>
      <c r="L69" s="5">
        <f aca="true" t="shared" si="35" ref="L69:L97">$C$17*0.01*D69</f>
        <v>23.08481065926966</v>
      </c>
      <c r="M69" s="5">
        <f aca="true" t="shared" si="36" ref="M69:M97">SUM(E69:L69)</f>
        <v>5312.743493542439</v>
      </c>
      <c r="N69" s="18">
        <v>25</v>
      </c>
      <c r="O69" s="5">
        <f aca="true" t="shared" si="37" ref="O69:O93">M69/N69</f>
        <v>212.50973974169756</v>
      </c>
      <c r="P69" s="6" t="s">
        <v>91</v>
      </c>
    </row>
    <row r="70" spans="2:16" ht="15">
      <c r="B70" s="10" t="s">
        <v>68</v>
      </c>
      <c r="C70" s="23">
        <v>492.69</v>
      </c>
      <c r="D70" s="5">
        <f aca="true" t="shared" si="38" ref="D70:D97">C70/$C$99</f>
        <v>0.00858886914356062</v>
      </c>
      <c r="E70" s="5">
        <f t="shared" si="30"/>
        <v>253.3395173644414</v>
      </c>
      <c r="F70" s="5">
        <f t="shared" si="31"/>
        <v>4.273821285835765</v>
      </c>
      <c r="G70" s="5">
        <f aca="true" t="shared" si="39" ref="G70:G97">$C$12*0.01*D70</f>
        <v>53.43512975007922</v>
      </c>
      <c r="H70" s="5">
        <f t="shared" si="32"/>
        <v>32.348115280164585</v>
      </c>
      <c r="I70" s="5">
        <f t="shared" si="33"/>
        <v>7.15257660551658</v>
      </c>
      <c r="J70" s="5">
        <f t="shared" si="34"/>
        <v>32.63986284611997</v>
      </c>
      <c r="K70" s="5">
        <f t="shared" si="29"/>
        <v>0.07008517221145466</v>
      </c>
      <c r="L70" s="5">
        <f t="shared" si="35"/>
        <v>1.6725963770169954</v>
      </c>
      <c r="M70" s="5">
        <f t="shared" si="36"/>
        <v>384.93170468138595</v>
      </c>
      <c r="N70" s="18">
        <v>7</v>
      </c>
      <c r="O70" s="5">
        <f t="shared" si="37"/>
        <v>54.99024352591228</v>
      </c>
      <c r="P70" s="6" t="s">
        <v>28</v>
      </c>
    </row>
    <row r="71" spans="2:16" ht="15">
      <c r="B71" s="10" t="s">
        <v>69</v>
      </c>
      <c r="C71" s="23">
        <v>1032.12</v>
      </c>
      <c r="D71" s="5">
        <f t="shared" si="38"/>
        <v>0.017992538148636644</v>
      </c>
      <c r="E71" s="5">
        <f t="shared" si="30"/>
        <v>530.7125832921051</v>
      </c>
      <c r="F71" s="5">
        <f t="shared" si="31"/>
        <v>8.953086982761594</v>
      </c>
      <c r="G71" s="5">
        <f t="shared" si="39"/>
        <v>111.9394875431849</v>
      </c>
      <c r="H71" s="5">
        <f t="shared" si="32"/>
        <v>67.76499775307693</v>
      </c>
      <c r="I71" s="5">
        <f t="shared" si="33"/>
        <v>14.983696373146953</v>
      </c>
      <c r="J71" s="5">
        <f t="shared" si="34"/>
        <v>68.37617008816363</v>
      </c>
      <c r="K71" s="5">
        <f t="shared" si="29"/>
        <v>0.146819111292875</v>
      </c>
      <c r="L71" s="5">
        <f t="shared" si="35"/>
        <v>3.5038668790655003</v>
      </c>
      <c r="M71" s="5">
        <f t="shared" si="36"/>
        <v>806.3807080227975</v>
      </c>
      <c r="N71" s="18">
        <v>10</v>
      </c>
      <c r="O71" s="5">
        <f t="shared" si="37"/>
        <v>80.63807080227976</v>
      </c>
      <c r="P71" s="6" t="s">
        <v>3</v>
      </c>
    </row>
    <row r="72" spans="2:16" ht="15">
      <c r="B72" s="10" t="s">
        <v>70</v>
      </c>
      <c r="C72" s="23">
        <v>3960</v>
      </c>
      <c r="D72" s="5">
        <f t="shared" si="38"/>
        <v>0.06903310765085563</v>
      </c>
      <c r="E72" s="5">
        <f t="shared" si="30"/>
        <v>2036.218491877627</v>
      </c>
      <c r="F72" s="5">
        <f t="shared" si="31"/>
        <v>34.350874367065764</v>
      </c>
      <c r="G72" s="5">
        <f t="shared" si="39"/>
        <v>429.48530274678546</v>
      </c>
      <c r="H72" s="5">
        <f t="shared" si="32"/>
        <v>259.99824739583056</v>
      </c>
      <c r="I72" s="5">
        <f t="shared" si="33"/>
        <v>57.48889435110446</v>
      </c>
      <c r="J72" s="5">
        <f t="shared" si="34"/>
        <v>262.3431708998256</v>
      </c>
      <c r="K72" s="5">
        <f t="shared" si="29"/>
        <v>0.563310158430982</v>
      </c>
      <c r="L72" s="5">
        <f t="shared" si="35"/>
        <v>13.443507383927626</v>
      </c>
      <c r="M72" s="5">
        <f t="shared" si="36"/>
        <v>3093.8917991805974</v>
      </c>
      <c r="N72" s="18">
        <v>30</v>
      </c>
      <c r="O72" s="5">
        <f t="shared" si="37"/>
        <v>103.12972663935325</v>
      </c>
      <c r="P72" s="6" t="s">
        <v>92</v>
      </c>
    </row>
    <row r="73" spans="2:16" ht="15">
      <c r="B73" s="10" t="s">
        <v>71</v>
      </c>
      <c r="C73" s="23">
        <v>6968.49</v>
      </c>
      <c r="D73" s="5">
        <f t="shared" si="38"/>
        <v>0.12147891927624013</v>
      </c>
      <c r="E73" s="5">
        <f t="shared" si="30"/>
        <v>3583.173787490991</v>
      </c>
      <c r="F73" s="5">
        <f t="shared" si="31"/>
        <v>60.447910231857094</v>
      </c>
      <c r="G73" s="5">
        <f t="shared" si="39"/>
        <v>755.7737468025118</v>
      </c>
      <c r="H73" s="5">
        <f t="shared" si="32"/>
        <v>457.52403712004326</v>
      </c>
      <c r="I73" s="5">
        <f t="shared" si="33"/>
        <v>101.16433974664847</v>
      </c>
      <c r="J73" s="5">
        <f t="shared" si="34"/>
        <v>461.6504451979105</v>
      </c>
      <c r="K73" s="5">
        <f t="shared" si="29"/>
        <v>0.9912679812941195</v>
      </c>
      <c r="L73" s="5">
        <f t="shared" si="35"/>
        <v>23.656804739855005</v>
      </c>
      <c r="M73" s="5">
        <f t="shared" si="36"/>
        <v>5444.3823393111115</v>
      </c>
      <c r="N73" s="18">
        <v>45</v>
      </c>
      <c r="O73" s="5">
        <f t="shared" si="37"/>
        <v>120.98627420691359</v>
      </c>
      <c r="P73" s="6" t="s">
        <v>93</v>
      </c>
    </row>
    <row r="74" spans="2:16" ht="15">
      <c r="B74" s="10" t="s">
        <v>72</v>
      </c>
      <c r="C74" s="23">
        <v>10485.94</v>
      </c>
      <c r="D74" s="5">
        <f t="shared" si="38"/>
        <v>0.1827972284950538</v>
      </c>
      <c r="E74" s="5">
        <f t="shared" si="30"/>
        <v>5391.834578969516</v>
      </c>
      <c r="F74" s="5">
        <f t="shared" si="31"/>
        <v>90.95990089913877</v>
      </c>
      <c r="G74" s="5">
        <f t="shared" si="39"/>
        <v>1137.2618978496535</v>
      </c>
      <c r="H74" s="5">
        <f t="shared" si="32"/>
        <v>688.4661672469282</v>
      </c>
      <c r="I74" s="5">
        <f t="shared" si="33"/>
        <v>152.22855980606573</v>
      </c>
      <c r="J74" s="5">
        <f t="shared" si="34"/>
        <v>694.6754417841711</v>
      </c>
      <c r="K74" s="5">
        <f t="shared" si="29"/>
        <v>1.4916253845196392</v>
      </c>
      <c r="L74" s="5">
        <f t="shared" si="35"/>
        <v>35.59793227712678</v>
      </c>
      <c r="M74" s="5">
        <f t="shared" si="36"/>
        <v>8192.51610421712</v>
      </c>
      <c r="N74" s="18">
        <v>62</v>
      </c>
      <c r="O74" s="5">
        <f t="shared" si="37"/>
        <v>132.13735651963097</v>
      </c>
      <c r="P74" s="6" t="s">
        <v>94</v>
      </c>
    </row>
    <row r="75" spans="2:16" ht="15">
      <c r="B75" s="4" t="s">
        <v>112</v>
      </c>
      <c r="C75" s="23">
        <v>610.46</v>
      </c>
      <c r="D75" s="5">
        <f t="shared" si="38"/>
        <v>0.010641906792055891</v>
      </c>
      <c r="E75" s="5">
        <f t="shared" si="30"/>
        <v>313.8964496342465</v>
      </c>
      <c r="F75" s="5">
        <f t="shared" si="31"/>
        <v>5.295412819727011</v>
      </c>
      <c r="G75" s="5">
        <f t="shared" si="39"/>
        <v>66.20797927141481</v>
      </c>
      <c r="H75" s="5">
        <f t="shared" si="32"/>
        <v>40.080436895267354</v>
      </c>
      <c r="I75" s="5">
        <f t="shared" si="33"/>
        <v>8.862290516559401</v>
      </c>
      <c r="J75" s="5">
        <f t="shared" si="34"/>
        <v>40.44192224937059</v>
      </c>
      <c r="K75" s="5">
        <f t="shared" si="29"/>
        <v>0.08683795942317607</v>
      </c>
      <c r="L75" s="5">
        <f t="shared" si="35"/>
        <v>2.072404928684964</v>
      </c>
      <c r="M75" s="5">
        <f t="shared" si="36"/>
        <v>476.94373427469384</v>
      </c>
      <c r="N75" s="18">
        <v>6</v>
      </c>
      <c r="O75" s="5">
        <f t="shared" si="37"/>
        <v>79.49062237911563</v>
      </c>
      <c r="P75" s="6" t="s">
        <v>3</v>
      </c>
    </row>
    <row r="76" spans="2:16" ht="15">
      <c r="B76" s="4" t="s">
        <v>113</v>
      </c>
      <c r="C76" s="23">
        <v>1529.08</v>
      </c>
      <c r="D76" s="5">
        <f t="shared" si="38"/>
        <v>0.02665584450676018</v>
      </c>
      <c r="E76" s="5">
        <f t="shared" si="30"/>
        <v>786.2477200909701</v>
      </c>
      <c r="F76" s="5">
        <f t="shared" si="31"/>
        <v>13.263948226563866</v>
      </c>
      <c r="G76" s="5">
        <f t="shared" si="39"/>
        <v>165.8377239202158</v>
      </c>
      <c r="H76" s="5">
        <f t="shared" si="32"/>
        <v>100.39346467879206</v>
      </c>
      <c r="I76" s="5">
        <f t="shared" si="33"/>
        <v>22.19826226625929</v>
      </c>
      <c r="J76" s="5">
        <f t="shared" si="34"/>
        <v>101.29891307058215</v>
      </c>
      <c r="K76" s="5">
        <f t="shared" si="29"/>
        <v>0.21751169117516309</v>
      </c>
      <c r="L76" s="5">
        <f t="shared" si="35"/>
        <v>5.190959159246478</v>
      </c>
      <c r="M76" s="5">
        <f t="shared" si="36"/>
        <v>1194.6485031038048</v>
      </c>
      <c r="N76" s="18">
        <v>12</v>
      </c>
      <c r="O76" s="5">
        <f t="shared" si="37"/>
        <v>99.55404192531707</v>
      </c>
      <c r="P76" s="6" t="s">
        <v>92</v>
      </c>
    </row>
    <row r="77" spans="2:16" ht="15">
      <c r="B77" s="4" t="s">
        <v>114</v>
      </c>
      <c r="C77" s="23">
        <v>2050</v>
      </c>
      <c r="D77" s="5">
        <f t="shared" si="38"/>
        <v>0.035736836031377284</v>
      </c>
      <c r="E77" s="5">
        <f t="shared" si="30"/>
        <v>1054.1030071588725</v>
      </c>
      <c r="F77" s="5">
        <f t="shared" si="31"/>
        <v>17.782649609213337</v>
      </c>
      <c r="G77" s="5">
        <f t="shared" si="39"/>
        <v>222.3345632906339</v>
      </c>
      <c r="H77" s="5">
        <f t="shared" si="32"/>
        <v>134.59505231349814</v>
      </c>
      <c r="I77" s="5">
        <f t="shared" si="33"/>
        <v>29.760665004990948</v>
      </c>
      <c r="J77" s="5">
        <f t="shared" si="34"/>
        <v>135.80896473349557</v>
      </c>
      <c r="K77" s="5">
        <f t="shared" si="29"/>
        <v>0.2916125820160386</v>
      </c>
      <c r="L77" s="5">
        <f t="shared" si="35"/>
        <v>6.959391448750413</v>
      </c>
      <c r="M77" s="5">
        <f t="shared" si="36"/>
        <v>1601.635906141471</v>
      </c>
      <c r="N77" s="18">
        <v>13</v>
      </c>
      <c r="O77" s="5">
        <f t="shared" si="37"/>
        <v>123.20276201088238</v>
      </c>
      <c r="P77" s="6" t="s">
        <v>93</v>
      </c>
    </row>
    <row r="78" spans="2:16" ht="15">
      <c r="B78" s="4" t="s">
        <v>75</v>
      </c>
      <c r="C78" s="23">
        <v>440</v>
      </c>
      <c r="D78" s="5">
        <f t="shared" si="38"/>
        <v>0.007670345294539515</v>
      </c>
      <c r="E78" s="5">
        <f t="shared" si="30"/>
        <v>226.24649909751412</v>
      </c>
      <c r="F78" s="5">
        <f t="shared" si="31"/>
        <v>3.8167638185628627</v>
      </c>
      <c r="G78" s="5">
        <f t="shared" si="39"/>
        <v>47.720589194087275</v>
      </c>
      <c r="H78" s="5">
        <f t="shared" si="32"/>
        <v>28.888694155092285</v>
      </c>
      <c r="I78" s="5">
        <f t="shared" si="33"/>
        <v>6.387654927900496</v>
      </c>
      <c r="J78" s="5">
        <f t="shared" si="34"/>
        <v>29.149241211091734</v>
      </c>
      <c r="K78" s="5">
        <f t="shared" si="29"/>
        <v>0.06259001760344245</v>
      </c>
      <c r="L78" s="5">
        <f t="shared" si="35"/>
        <v>1.4937230426586252</v>
      </c>
      <c r="M78" s="5">
        <f t="shared" si="36"/>
        <v>343.7657554645109</v>
      </c>
      <c r="N78" s="18">
        <v>8</v>
      </c>
      <c r="O78" s="5">
        <f t="shared" si="37"/>
        <v>42.97071943306386</v>
      </c>
      <c r="P78" s="6" t="s">
        <v>10</v>
      </c>
    </row>
    <row r="79" spans="2:16" ht="15">
      <c r="B79" s="4" t="s">
        <v>74</v>
      </c>
      <c r="C79" s="23">
        <v>1461.75</v>
      </c>
      <c r="D79" s="5">
        <f t="shared" si="38"/>
        <v>0.025482107350666215</v>
      </c>
      <c r="E79" s="5">
        <f t="shared" si="30"/>
        <v>751.626863763162</v>
      </c>
      <c r="F79" s="5">
        <f t="shared" si="31"/>
        <v>12.67989661769151</v>
      </c>
      <c r="G79" s="5">
        <f t="shared" si="39"/>
        <v>158.53538921467515</v>
      </c>
      <c r="H79" s="5">
        <f t="shared" si="32"/>
        <v>95.97283791183216</v>
      </c>
      <c r="I79" s="5">
        <f t="shared" si="33"/>
        <v>21.220805888314885</v>
      </c>
      <c r="J79" s="5">
        <f t="shared" si="34"/>
        <v>96.83841668253032</v>
      </c>
      <c r="K79" s="5">
        <f t="shared" si="29"/>
        <v>0.20793399598143633</v>
      </c>
      <c r="L79" s="5">
        <f t="shared" si="35"/>
        <v>4.962385585468739</v>
      </c>
      <c r="M79" s="5">
        <f t="shared" si="36"/>
        <v>1142.0445296596563</v>
      </c>
      <c r="N79" s="18">
        <v>19</v>
      </c>
      <c r="O79" s="5">
        <f t="shared" si="37"/>
        <v>60.10760682419244</v>
      </c>
      <c r="P79" s="6" t="s">
        <v>7</v>
      </c>
    </row>
    <row r="80" spans="2:16" ht="15">
      <c r="B80" s="4" t="s">
        <v>76</v>
      </c>
      <c r="C80" s="23">
        <v>272.14</v>
      </c>
      <c r="D80" s="5">
        <f t="shared" si="38"/>
        <v>0.004744108564672689</v>
      </c>
      <c r="E80" s="5">
        <f t="shared" si="30"/>
        <v>139.93345969181246</v>
      </c>
      <c r="F80" s="5">
        <f t="shared" si="31"/>
        <v>2.3606684217811305</v>
      </c>
      <c r="G80" s="5">
        <f t="shared" si="39"/>
        <v>29.515184416542976</v>
      </c>
      <c r="H80" s="5">
        <f t="shared" si="32"/>
        <v>17.867657334924576</v>
      </c>
      <c r="I80" s="5">
        <f t="shared" si="33"/>
        <v>3.9507645729064564</v>
      </c>
      <c r="J80" s="5">
        <f t="shared" si="34"/>
        <v>18.028805689060235</v>
      </c>
      <c r="K80" s="5">
        <f t="shared" si="29"/>
        <v>0.03871192588772914</v>
      </c>
      <c r="L80" s="5">
        <f t="shared" si="35"/>
        <v>0.9238677018843595</v>
      </c>
      <c r="M80" s="5">
        <f t="shared" si="36"/>
        <v>212.6191197547999</v>
      </c>
      <c r="N80" s="18">
        <v>40</v>
      </c>
      <c r="O80" s="5">
        <f t="shared" si="37"/>
        <v>5.315477993869997</v>
      </c>
      <c r="P80" s="6" t="s">
        <v>95</v>
      </c>
    </row>
    <row r="81" spans="2:16" ht="15">
      <c r="B81" s="4" t="s">
        <v>77</v>
      </c>
      <c r="C81" s="23">
        <v>378.91</v>
      </c>
      <c r="D81" s="5">
        <f t="shared" si="38"/>
        <v>0.006605387580804471</v>
      </c>
      <c r="E81" s="5">
        <f t="shared" si="30"/>
        <v>194.8342294841797</v>
      </c>
      <c r="F81" s="5">
        <f t="shared" si="31"/>
        <v>3.2868408602083052</v>
      </c>
      <c r="G81" s="5">
        <f t="shared" si="39"/>
        <v>41.09501920802638</v>
      </c>
      <c r="H81" s="5">
        <f t="shared" si="32"/>
        <v>24.87776159615004</v>
      </c>
      <c r="I81" s="5">
        <f t="shared" si="33"/>
        <v>5.500787110751766</v>
      </c>
      <c r="J81" s="5">
        <f t="shared" si="34"/>
        <v>25.102134062033564</v>
      </c>
      <c r="K81" s="5">
        <f t="shared" si="29"/>
        <v>0.05389996265936449</v>
      </c>
      <c r="L81" s="5">
        <f t="shared" si="35"/>
        <v>1.2863331774858628</v>
      </c>
      <c r="M81" s="5">
        <f t="shared" si="36"/>
        <v>296.037005461495</v>
      </c>
      <c r="N81" s="18">
        <v>20</v>
      </c>
      <c r="O81" s="5">
        <f t="shared" si="37"/>
        <v>14.801850273074752</v>
      </c>
      <c r="P81" s="6" t="s">
        <v>21</v>
      </c>
    </row>
    <row r="82" spans="2:16" ht="15">
      <c r="B82" s="4" t="s">
        <v>78</v>
      </c>
      <c r="C82" s="23">
        <v>606.89</v>
      </c>
      <c r="D82" s="5">
        <f t="shared" si="38"/>
        <v>0.010579672399552468</v>
      </c>
      <c r="E82" s="5">
        <f t="shared" si="30"/>
        <v>312.06076781202347</v>
      </c>
      <c r="F82" s="5">
        <f t="shared" si="31"/>
        <v>5.264444986017308</v>
      </c>
      <c r="G82" s="5">
        <f t="shared" si="39"/>
        <v>65.82079176363551</v>
      </c>
      <c r="H82" s="5">
        <f t="shared" si="32"/>
        <v>39.84604453587263</v>
      </c>
      <c r="I82" s="5">
        <f t="shared" si="33"/>
        <v>8.810463407258027</v>
      </c>
      <c r="J82" s="5">
        <f t="shared" si="34"/>
        <v>40.20541590590787</v>
      </c>
      <c r="K82" s="5">
        <f t="shared" si="29"/>
        <v>0.08633012678034814</v>
      </c>
      <c r="L82" s="5">
        <f t="shared" si="35"/>
        <v>2.0602854030888476</v>
      </c>
      <c r="M82" s="5">
        <f t="shared" si="36"/>
        <v>474.15454394058406</v>
      </c>
      <c r="N82" s="18">
        <v>20</v>
      </c>
      <c r="O82" s="5">
        <f t="shared" si="37"/>
        <v>23.707727197029204</v>
      </c>
      <c r="P82" s="6" t="s">
        <v>30</v>
      </c>
    </row>
    <row r="83" spans="2:16" ht="30">
      <c r="B83" s="13" t="s">
        <v>79</v>
      </c>
      <c r="C83" s="23">
        <v>1217.14</v>
      </c>
      <c r="D83" s="5">
        <f t="shared" si="38"/>
        <v>0.02121791834499051</v>
      </c>
      <c r="E83" s="5">
        <f t="shared" si="30"/>
        <v>625.8492361626098</v>
      </c>
      <c r="F83" s="5">
        <f t="shared" si="31"/>
        <v>10.558036168467279</v>
      </c>
      <c r="G83" s="5">
        <f t="shared" si="39"/>
        <v>132.0059952992986</v>
      </c>
      <c r="H83" s="5">
        <f t="shared" si="32"/>
        <v>79.91269364529325</v>
      </c>
      <c r="I83" s="5">
        <f t="shared" si="33"/>
        <v>17.669705270329114</v>
      </c>
      <c r="J83" s="5">
        <f t="shared" si="34"/>
        <v>80.63342601742771</v>
      </c>
      <c r="K83" s="5">
        <f t="shared" si="29"/>
        <v>0.17313821369512258</v>
      </c>
      <c r="L83" s="5">
        <f t="shared" si="35"/>
        <v>4.131977418503452</v>
      </c>
      <c r="M83" s="5">
        <f t="shared" si="36"/>
        <v>950.9342081956244</v>
      </c>
      <c r="N83" s="18">
        <v>25</v>
      </c>
      <c r="O83" s="5">
        <f t="shared" si="37"/>
        <v>38.03736832782497</v>
      </c>
      <c r="P83" s="6" t="s">
        <v>5</v>
      </c>
    </row>
    <row r="84" spans="2:16" ht="15">
      <c r="B84" s="4" t="s">
        <v>80</v>
      </c>
      <c r="C84" s="23">
        <v>2011.43</v>
      </c>
      <c r="D84" s="5">
        <f t="shared" si="38"/>
        <v>0.03506446053589913</v>
      </c>
      <c r="E84" s="5">
        <f t="shared" si="30"/>
        <v>1034.27044472662</v>
      </c>
      <c r="F84" s="5">
        <f t="shared" si="31"/>
        <v>17.44807556266341</v>
      </c>
      <c r="G84" s="5">
        <f t="shared" si="39"/>
        <v>218.151419824234</v>
      </c>
      <c r="H84" s="5">
        <f t="shared" si="32"/>
        <v>132.062695646312</v>
      </c>
      <c r="I84" s="5">
        <f t="shared" si="33"/>
        <v>29.20072898097022</v>
      </c>
      <c r="J84" s="5">
        <f t="shared" si="34"/>
        <v>133.25376874824147</v>
      </c>
      <c r="K84" s="5">
        <f t="shared" si="29"/>
        <v>0.2861259979729369</v>
      </c>
      <c r="L84" s="5">
        <f t="shared" si="35"/>
        <v>6.828453044760996</v>
      </c>
      <c r="M84" s="5">
        <f t="shared" si="36"/>
        <v>1571.5017125317754</v>
      </c>
      <c r="N84" s="6">
        <v>40</v>
      </c>
      <c r="O84" s="5">
        <f t="shared" si="37"/>
        <v>39.28754281329439</v>
      </c>
      <c r="P84" s="6" t="s">
        <v>10</v>
      </c>
    </row>
    <row r="85" spans="2:16" ht="15">
      <c r="B85" s="4" t="s">
        <v>81</v>
      </c>
      <c r="C85" s="23">
        <v>470</v>
      </c>
      <c r="D85" s="5">
        <f t="shared" si="38"/>
        <v>0.008193323382803572</v>
      </c>
      <c r="E85" s="5">
        <f t="shared" si="30"/>
        <v>241.67239676325372</v>
      </c>
      <c r="F85" s="5">
        <f t="shared" si="31"/>
        <v>4.076997715283058</v>
      </c>
      <c r="G85" s="5">
        <f t="shared" si="39"/>
        <v>50.97426573004777</v>
      </c>
      <c r="H85" s="5">
        <f t="shared" si="32"/>
        <v>30.85837784748494</v>
      </c>
      <c r="I85" s="5">
        <f t="shared" si="33"/>
        <v>6.823176854802803</v>
      </c>
      <c r="J85" s="5">
        <f t="shared" si="34"/>
        <v>31.136689475484353</v>
      </c>
      <c r="K85" s="5">
        <f t="shared" si="29"/>
        <v>0.06685751880367716</v>
      </c>
      <c r="L85" s="5">
        <f t="shared" si="35"/>
        <v>1.5955677955671679</v>
      </c>
      <c r="M85" s="5">
        <f t="shared" si="36"/>
        <v>367.2043297007274</v>
      </c>
      <c r="N85" s="6">
        <v>17</v>
      </c>
      <c r="O85" s="5">
        <f t="shared" si="37"/>
        <v>21.60025468827808</v>
      </c>
      <c r="P85" s="6" t="s">
        <v>96</v>
      </c>
    </row>
    <row r="86" spans="2:16" ht="15">
      <c r="B86" s="4" t="s">
        <v>82</v>
      </c>
      <c r="C86" s="23">
        <v>780</v>
      </c>
      <c r="D86" s="5">
        <f t="shared" si="38"/>
        <v>0.013597430294865502</v>
      </c>
      <c r="E86" s="5">
        <f t="shared" si="30"/>
        <v>401.07333930922954</v>
      </c>
      <c r="F86" s="5">
        <f t="shared" si="31"/>
        <v>6.766081314725074</v>
      </c>
      <c r="G86" s="5">
        <f t="shared" si="39"/>
        <v>84.59558993497289</v>
      </c>
      <c r="H86" s="5">
        <f t="shared" si="32"/>
        <v>51.21177600220905</v>
      </c>
      <c r="I86" s="5">
        <f t="shared" si="33"/>
        <v>11.32357009945997</v>
      </c>
      <c r="J86" s="5">
        <f t="shared" si="34"/>
        <v>51.67365487420807</v>
      </c>
      <c r="K86" s="5">
        <f t="shared" si="29"/>
        <v>0.1109550312061025</v>
      </c>
      <c r="L86" s="5">
        <f t="shared" si="35"/>
        <v>2.647963575622108</v>
      </c>
      <c r="M86" s="5">
        <f t="shared" si="36"/>
        <v>609.4029301416329</v>
      </c>
      <c r="N86" s="6">
        <v>20</v>
      </c>
      <c r="O86" s="5">
        <f t="shared" si="37"/>
        <v>30.470146507081644</v>
      </c>
      <c r="P86" s="6" t="s">
        <v>97</v>
      </c>
    </row>
    <row r="87" spans="2:16" ht="15">
      <c r="B87" s="4" t="s">
        <v>83</v>
      </c>
      <c r="C87" s="23">
        <v>1090</v>
      </c>
      <c r="D87" s="5">
        <f t="shared" si="38"/>
        <v>0.019001537206927432</v>
      </c>
      <c r="E87" s="5">
        <f t="shared" si="30"/>
        <v>560.4742818552054</v>
      </c>
      <c r="F87" s="5">
        <f t="shared" si="31"/>
        <v>9.45516491416709</v>
      </c>
      <c r="G87" s="5">
        <f t="shared" si="39"/>
        <v>118.21691413989801</v>
      </c>
      <c r="H87" s="5">
        <f t="shared" si="32"/>
        <v>71.56517415693315</v>
      </c>
      <c r="I87" s="5">
        <f t="shared" si="33"/>
        <v>15.823963344117136</v>
      </c>
      <c r="J87" s="5">
        <f t="shared" si="34"/>
        <v>72.21062027293179</v>
      </c>
      <c r="K87" s="5">
        <f t="shared" si="29"/>
        <v>0.15505254360852785</v>
      </c>
      <c r="L87" s="5">
        <f t="shared" si="35"/>
        <v>3.7003593556770484</v>
      </c>
      <c r="M87" s="5">
        <f t="shared" si="36"/>
        <v>851.6015305825382</v>
      </c>
      <c r="N87" s="6">
        <v>25</v>
      </c>
      <c r="O87" s="5">
        <f t="shared" si="37"/>
        <v>34.06406122330153</v>
      </c>
      <c r="P87" s="6" t="s">
        <v>5</v>
      </c>
    </row>
    <row r="88" spans="2:16" ht="15">
      <c r="B88" s="14" t="s">
        <v>84</v>
      </c>
      <c r="C88" s="23">
        <v>403.21</v>
      </c>
      <c r="D88" s="5">
        <f t="shared" si="38"/>
        <v>0.007028999832298358</v>
      </c>
      <c r="E88" s="5">
        <f t="shared" si="30"/>
        <v>207.32920659342878</v>
      </c>
      <c r="F88" s="5">
        <f t="shared" si="31"/>
        <v>3.497630316551663</v>
      </c>
      <c r="G88" s="5">
        <f t="shared" si="39"/>
        <v>43.73049720215438</v>
      </c>
      <c r="H88" s="5">
        <f t="shared" si="32"/>
        <v>26.47320538698809</v>
      </c>
      <c r="I88" s="5">
        <f t="shared" si="33"/>
        <v>5.853559871542633</v>
      </c>
      <c r="J88" s="5">
        <f t="shared" si="34"/>
        <v>26.711967156191587</v>
      </c>
      <c r="K88" s="5">
        <f t="shared" si="29"/>
        <v>0.0573566386315546</v>
      </c>
      <c r="L88" s="5">
        <f t="shared" si="35"/>
        <v>1.3688274273417822</v>
      </c>
      <c r="M88" s="5">
        <f t="shared" si="36"/>
        <v>315.02225059283046</v>
      </c>
      <c r="N88" s="6">
        <v>15</v>
      </c>
      <c r="O88" s="5">
        <f t="shared" si="37"/>
        <v>21.001483372855365</v>
      </c>
      <c r="P88" s="6" t="s">
        <v>96</v>
      </c>
    </row>
    <row r="89" spans="2:16" ht="15">
      <c r="B89" s="14" t="s">
        <v>85</v>
      </c>
      <c r="C89" s="23">
        <v>512.05</v>
      </c>
      <c r="D89" s="5">
        <f t="shared" si="38"/>
        <v>0.00892636433652036</v>
      </c>
      <c r="E89" s="5">
        <f t="shared" si="30"/>
        <v>263.29436332473205</v>
      </c>
      <c r="F89" s="5">
        <f t="shared" si="31"/>
        <v>4.441758893852531</v>
      </c>
      <c r="G89" s="5">
        <f t="shared" si="39"/>
        <v>55.53483567461906</v>
      </c>
      <c r="H89" s="5">
        <f t="shared" si="32"/>
        <v>33.619217822988645</v>
      </c>
      <c r="I89" s="5">
        <f t="shared" si="33"/>
        <v>7.433633422344202</v>
      </c>
      <c r="J89" s="5">
        <f t="shared" si="34"/>
        <v>33.922429459408</v>
      </c>
      <c r="K89" s="5">
        <f t="shared" si="29"/>
        <v>0.07283913298600614</v>
      </c>
      <c r="L89" s="5">
        <f t="shared" si="35"/>
        <v>1.738320190893975</v>
      </c>
      <c r="M89" s="5">
        <f t="shared" si="36"/>
        <v>400.05739792182453</v>
      </c>
      <c r="N89" s="6">
        <v>15</v>
      </c>
      <c r="O89" s="5">
        <f t="shared" si="37"/>
        <v>26.670493194788303</v>
      </c>
      <c r="P89" s="6" t="s">
        <v>30</v>
      </c>
    </row>
    <row r="90" spans="2:16" ht="15">
      <c r="B90" s="14" t="s">
        <v>86</v>
      </c>
      <c r="C90" s="23">
        <v>51.11</v>
      </c>
      <c r="D90" s="5">
        <f t="shared" si="38"/>
        <v>0.0008909803363725331</v>
      </c>
      <c r="E90" s="5">
        <f t="shared" si="30"/>
        <v>26.280587656531694</v>
      </c>
      <c r="F90" s="5">
        <f t="shared" si="31"/>
        <v>0.4433518153789725</v>
      </c>
      <c r="G90" s="5">
        <f t="shared" si="39"/>
        <v>5.543180258431365</v>
      </c>
      <c r="H90" s="5">
        <f t="shared" si="32"/>
        <v>3.355684450606288</v>
      </c>
      <c r="I90" s="5">
        <f t="shared" si="33"/>
        <v>0.7419841894658962</v>
      </c>
      <c r="J90" s="5">
        <f t="shared" si="34"/>
        <v>3.385949359770224</v>
      </c>
      <c r="K90" s="5">
        <f t="shared" si="29"/>
        <v>0.0072703995447998705</v>
      </c>
      <c r="L90" s="5">
        <f t="shared" si="35"/>
        <v>0.1735095107051871</v>
      </c>
      <c r="M90" s="5">
        <f t="shared" si="36"/>
        <v>39.93151764043443</v>
      </c>
      <c r="N90" s="6">
        <v>3</v>
      </c>
      <c r="O90" s="5">
        <f t="shared" si="37"/>
        <v>13.31050588014481</v>
      </c>
      <c r="P90" s="6" t="s">
        <v>21</v>
      </c>
    </row>
    <row r="91" spans="2:16" ht="15">
      <c r="B91" s="14" t="s">
        <v>87</v>
      </c>
      <c r="C91" s="23">
        <v>210</v>
      </c>
      <c r="D91" s="5">
        <f t="shared" si="38"/>
        <v>0.0036608466178484045</v>
      </c>
      <c r="E91" s="5">
        <f t="shared" si="30"/>
        <v>107.98128366017718</v>
      </c>
      <c r="F91" s="5">
        <f t="shared" si="31"/>
        <v>1.8216372770413662</v>
      </c>
      <c r="G91" s="5">
        <f t="shared" si="39"/>
        <v>22.77573575172347</v>
      </c>
      <c r="H91" s="5">
        <f t="shared" si="32"/>
        <v>13.78778584674859</v>
      </c>
      <c r="I91" s="5">
        <f t="shared" si="33"/>
        <v>3.0486534883161456</v>
      </c>
      <c r="J91" s="5">
        <f t="shared" si="34"/>
        <v>13.912137850748326</v>
      </c>
      <c r="K91" s="5">
        <f t="shared" si="29"/>
        <v>0.029872508401642982</v>
      </c>
      <c r="L91" s="5">
        <f t="shared" si="35"/>
        <v>0.7129132703597983</v>
      </c>
      <c r="M91" s="5">
        <f t="shared" si="36"/>
        <v>164.0700196535165</v>
      </c>
      <c r="N91" s="6">
        <v>7</v>
      </c>
      <c r="O91" s="5">
        <f t="shared" si="37"/>
        <v>23.438574236216645</v>
      </c>
      <c r="P91" s="6" t="s">
        <v>96</v>
      </c>
    </row>
    <row r="92" spans="2:16" ht="15">
      <c r="B92" s="14" t="s">
        <v>88</v>
      </c>
      <c r="C92" s="23">
        <v>611</v>
      </c>
      <c r="D92" s="5">
        <f t="shared" si="38"/>
        <v>0.010651320397644643</v>
      </c>
      <c r="E92" s="5">
        <f t="shared" si="30"/>
        <v>314.1741157922298</v>
      </c>
      <c r="F92" s="5">
        <f t="shared" si="31"/>
        <v>5.300097029867975</v>
      </c>
      <c r="G92" s="5">
        <f t="shared" si="39"/>
        <v>66.2665454490621</v>
      </c>
      <c r="H92" s="5">
        <f t="shared" si="32"/>
        <v>40.11589120173042</v>
      </c>
      <c r="I92" s="5">
        <f t="shared" si="33"/>
        <v>8.870129911243643</v>
      </c>
      <c r="J92" s="5">
        <f t="shared" si="34"/>
        <v>40.47769631812966</v>
      </c>
      <c r="K92" s="5">
        <f t="shared" si="29"/>
        <v>0.0869147744447803</v>
      </c>
      <c r="L92" s="5">
        <f t="shared" si="35"/>
        <v>2.074238134237318</v>
      </c>
      <c r="M92" s="5">
        <f t="shared" si="36"/>
        <v>477.3656286109457</v>
      </c>
      <c r="N92" s="6">
        <v>6</v>
      </c>
      <c r="O92" s="5">
        <f t="shared" si="37"/>
        <v>79.56093810182428</v>
      </c>
      <c r="P92" s="6" t="s">
        <v>3</v>
      </c>
    </row>
    <row r="93" spans="2:16" ht="15">
      <c r="B93" s="14" t="s">
        <v>89</v>
      </c>
      <c r="C93" s="23">
        <v>1043.15</v>
      </c>
      <c r="D93" s="5">
        <f t="shared" si="38"/>
        <v>0.018184819759088398</v>
      </c>
      <c r="E93" s="5">
        <f t="shared" si="30"/>
        <v>536.3841716672088</v>
      </c>
      <c r="F93" s="5">
        <f t="shared" si="31"/>
        <v>9.048766312122387</v>
      </c>
      <c r="G93" s="5">
        <f t="shared" si="39"/>
        <v>113.13575594957305</v>
      </c>
      <c r="H93" s="5">
        <f t="shared" si="32"/>
        <v>68.48918479064663</v>
      </c>
      <c r="I93" s="5">
        <f t="shared" si="33"/>
        <v>15.143823268271369</v>
      </c>
      <c r="J93" s="5">
        <f t="shared" si="34"/>
        <v>69.10688856670532</v>
      </c>
      <c r="K93" s="5">
        <f t="shared" si="29"/>
        <v>0.14838812923416134</v>
      </c>
      <c r="L93" s="5">
        <f t="shared" si="35"/>
        <v>3.5413117998848747</v>
      </c>
      <c r="M93" s="5">
        <f t="shared" si="36"/>
        <v>814.9982904836467</v>
      </c>
      <c r="N93" s="6">
        <v>8</v>
      </c>
      <c r="O93" s="5">
        <f t="shared" si="37"/>
        <v>101.87478631045583</v>
      </c>
      <c r="P93" s="6" t="s">
        <v>92</v>
      </c>
    </row>
    <row r="94" spans="2:16" ht="15">
      <c r="B94" s="14" t="s">
        <v>90</v>
      </c>
      <c r="C94" s="23">
        <v>2260.87</v>
      </c>
      <c r="D94" s="5">
        <f t="shared" si="38"/>
        <v>0.03941284901378534</v>
      </c>
      <c r="E94" s="5">
        <f t="shared" si="30"/>
        <v>1162.531641851356</v>
      </c>
      <c r="F94" s="5">
        <f t="shared" si="31"/>
        <v>19.611833669259585</v>
      </c>
      <c r="G94" s="5">
        <f t="shared" si="39"/>
        <v>245.20465566190018</v>
      </c>
      <c r="H94" s="5">
        <f t="shared" si="32"/>
        <v>148.43995898732612</v>
      </c>
      <c r="I94" s="5">
        <f t="shared" si="33"/>
        <v>32.821948629187254</v>
      </c>
      <c r="J94" s="5">
        <f t="shared" si="34"/>
        <v>149.77873858391126</v>
      </c>
      <c r="K94" s="5">
        <f t="shared" si="29"/>
        <v>0.3216088479524884</v>
      </c>
      <c r="L94" s="5">
        <f t="shared" si="35"/>
        <v>7.675258216944558</v>
      </c>
      <c r="M94" s="5">
        <f t="shared" si="36"/>
        <v>1766.3856444478374</v>
      </c>
      <c r="N94" s="6">
        <v>12</v>
      </c>
      <c r="O94" s="5">
        <f>M94/N94</f>
        <v>147.19880370398644</v>
      </c>
      <c r="P94" s="6" t="s">
        <v>65</v>
      </c>
    </row>
    <row r="95" spans="2:16" ht="15">
      <c r="B95" s="30" t="s">
        <v>115</v>
      </c>
      <c r="C95" s="23">
        <v>1300</v>
      </c>
      <c r="D95" s="5">
        <f t="shared" si="38"/>
        <v>0.02266238382477584</v>
      </c>
      <c r="E95" s="5">
        <f t="shared" si="30"/>
        <v>668.4555655153827</v>
      </c>
      <c r="F95" s="5">
        <f t="shared" si="31"/>
        <v>11.276802191208459</v>
      </c>
      <c r="G95" s="5">
        <f t="shared" si="39"/>
        <v>140.99264989162148</v>
      </c>
      <c r="H95" s="5">
        <f t="shared" si="32"/>
        <v>85.35296000368176</v>
      </c>
      <c r="I95" s="5">
        <f t="shared" si="33"/>
        <v>18.872616832433284</v>
      </c>
      <c r="J95" s="5">
        <f t="shared" si="34"/>
        <v>86.12275812368013</v>
      </c>
      <c r="K95" s="5">
        <f t="shared" si="29"/>
        <v>0.18492505201017084</v>
      </c>
      <c r="L95" s="5">
        <f t="shared" si="35"/>
        <v>4.413272626036847</v>
      </c>
      <c r="M95" s="5">
        <f t="shared" si="36"/>
        <v>1015.6715502360548</v>
      </c>
      <c r="N95" s="6">
        <v>20</v>
      </c>
      <c r="O95" s="5">
        <f>M95/N95</f>
        <v>50.78357751180274</v>
      </c>
      <c r="P95" s="6" t="s">
        <v>28</v>
      </c>
    </row>
    <row r="96" spans="2:16" ht="15">
      <c r="B96" s="30" t="s">
        <v>116</v>
      </c>
      <c r="C96" s="23">
        <v>1500</v>
      </c>
      <c r="D96" s="5">
        <f t="shared" si="38"/>
        <v>0.02614890441320289</v>
      </c>
      <c r="E96" s="5">
        <f t="shared" si="30"/>
        <v>771.2948832869799</v>
      </c>
      <c r="F96" s="5">
        <f t="shared" si="31"/>
        <v>13.011694836009758</v>
      </c>
      <c r="G96" s="5">
        <f t="shared" si="39"/>
        <v>162.6838267980248</v>
      </c>
      <c r="H96" s="5">
        <f t="shared" si="32"/>
        <v>98.48418461963279</v>
      </c>
      <c r="I96" s="5">
        <f t="shared" si="33"/>
        <v>21.776096345115327</v>
      </c>
      <c r="J96" s="5">
        <f t="shared" si="34"/>
        <v>99.37241321963091</v>
      </c>
      <c r="K96" s="5">
        <f t="shared" si="29"/>
        <v>0.2133750600117356</v>
      </c>
      <c r="L96" s="5">
        <f t="shared" si="35"/>
        <v>5.092237645427131</v>
      </c>
      <c r="M96" s="5">
        <f t="shared" si="36"/>
        <v>1171.9287118108323</v>
      </c>
      <c r="N96" s="6">
        <v>23</v>
      </c>
      <c r="O96" s="5">
        <f>M96/N96</f>
        <v>50.953422252644884</v>
      </c>
      <c r="P96" s="6" t="s">
        <v>28</v>
      </c>
    </row>
    <row r="97" spans="2:16" ht="15">
      <c r="B97" s="30" t="s">
        <v>117</v>
      </c>
      <c r="C97" s="23">
        <v>2600</v>
      </c>
      <c r="D97" s="5">
        <f t="shared" si="38"/>
        <v>0.04532476764955168</v>
      </c>
      <c r="E97" s="5">
        <f t="shared" si="30"/>
        <v>1336.9111310307653</v>
      </c>
      <c r="F97" s="5">
        <f t="shared" si="31"/>
        <v>22.553604382416918</v>
      </c>
      <c r="G97" s="5">
        <f t="shared" si="39"/>
        <v>281.98529978324297</v>
      </c>
      <c r="H97" s="5">
        <f t="shared" si="32"/>
        <v>170.70592000736352</v>
      </c>
      <c r="I97" s="5">
        <f t="shared" si="33"/>
        <v>37.74523366486657</v>
      </c>
      <c r="J97" s="5">
        <f t="shared" si="34"/>
        <v>172.24551624736026</v>
      </c>
      <c r="K97" s="5">
        <f t="shared" si="29"/>
        <v>0.3698501040203417</v>
      </c>
      <c r="L97" s="5">
        <f t="shared" si="35"/>
        <v>8.826545252073695</v>
      </c>
      <c r="M97" s="5">
        <f t="shared" si="36"/>
        <v>2031.3431004721097</v>
      </c>
      <c r="N97" s="6">
        <v>29</v>
      </c>
      <c r="O97" s="5">
        <f>M97/N97</f>
        <v>70.0463138093831</v>
      </c>
      <c r="P97" s="6" t="s">
        <v>135</v>
      </c>
    </row>
    <row r="98" spans="2:16" ht="15">
      <c r="B98" s="4"/>
      <c r="C98" s="2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5">
      <c r="B99" s="4" t="s">
        <v>52</v>
      </c>
      <c r="C99" s="26">
        <f>SUM(C68:C98)</f>
        <v>57363.78000000001</v>
      </c>
      <c r="D99" s="11"/>
      <c r="E99" s="9">
        <f>SUM(E68:E98)</f>
        <v>29496.259999999995</v>
      </c>
      <c r="F99" s="9">
        <f>SUM(F68:F98)</f>
        <v>497.5999999999998</v>
      </c>
      <c r="G99" s="9">
        <f>SUM(G68:G98)</f>
        <v>6221.4394999999995</v>
      </c>
      <c r="H99" s="9">
        <f>H68+H69+H70+H71+H72+H73+H74+H75+H76+H77+H78+H79+H80+H82+H81+H83+H84+H85+H86+H87+H88+H89+H90+H91+H92+H93+H94+H95+H96+H97</f>
        <v>3766.2833999999984</v>
      </c>
      <c r="I99" s="9">
        <f>SUM(I68:I98)</f>
        <v>832.7727999999998</v>
      </c>
      <c r="J99" s="9">
        <f>SUM(J68:J97)</f>
        <v>3800.2515</v>
      </c>
      <c r="K99" s="9">
        <f>SUM(K68:K98)</f>
        <v>8.159999999999997</v>
      </c>
      <c r="L99" s="9">
        <f>SUM(L68:L98)</f>
        <v>194.73999999999992</v>
      </c>
      <c r="M99" s="9">
        <f>SUM(M68:M98)</f>
        <v>44817.50719999999</v>
      </c>
      <c r="N99" s="4"/>
      <c r="O99" s="4"/>
      <c r="P99" s="4"/>
    </row>
    <row r="101" spans="2:5" ht="15">
      <c r="B101" t="s">
        <v>98</v>
      </c>
      <c r="E101" s="16"/>
    </row>
    <row r="102" ht="15">
      <c r="B102" t="s">
        <v>99</v>
      </c>
    </row>
    <row r="103" ht="15">
      <c r="B103" t="s">
        <v>100</v>
      </c>
    </row>
    <row r="104" ht="15">
      <c r="B104" t="s">
        <v>101</v>
      </c>
    </row>
    <row r="105" ht="15">
      <c r="B105" t="s">
        <v>102</v>
      </c>
    </row>
    <row r="106" ht="15">
      <c r="B106" t="s">
        <v>103</v>
      </c>
    </row>
    <row r="108" spans="2:4" ht="15">
      <c r="B108" t="s">
        <v>104</v>
      </c>
      <c r="C108" s="15"/>
      <c r="D108" t="s">
        <v>106</v>
      </c>
    </row>
  </sheetData>
  <sheetProtection/>
  <mergeCells count="18">
    <mergeCell ref="B48:P48"/>
    <mergeCell ref="B60:P60"/>
    <mergeCell ref="O19:O20"/>
    <mergeCell ref="P19:P20"/>
    <mergeCell ref="B21:P21"/>
    <mergeCell ref="B32:P32"/>
    <mergeCell ref="B33:P33"/>
    <mergeCell ref="B38:P38"/>
    <mergeCell ref="B19:B20"/>
    <mergeCell ref="C19:C20"/>
    <mergeCell ref="D19:D20"/>
    <mergeCell ref="E19:M19"/>
    <mergeCell ref="N19:N20"/>
    <mergeCell ref="B1:S1"/>
    <mergeCell ref="B2:S2"/>
    <mergeCell ref="A3:P3"/>
    <mergeCell ref="B5:G5"/>
    <mergeCell ref="B6:R6"/>
  </mergeCells>
  <printOptions/>
  <pageMargins left="0.7086614173228347" right="0.7086614173228347" top="0.3937007874015748" bottom="0.3937007874015748" header="0.31496062992125984" footer="0.31496062992125984"/>
  <pageSetup fitToHeight="3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Admin</cp:lastModifiedBy>
  <cp:lastPrinted>2017-04-07T05:29:33Z</cp:lastPrinted>
  <dcterms:created xsi:type="dcterms:W3CDTF">2013-06-18T04:48:52Z</dcterms:created>
  <dcterms:modified xsi:type="dcterms:W3CDTF">2017-11-21T08:30:47Z</dcterms:modified>
  <cp:category/>
  <cp:version/>
  <cp:contentType/>
  <cp:contentStatus/>
</cp:coreProperties>
</file>